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landriaalu-my.sharepoint.com/personal/bcoussens_flandria_com/Documents/Documents/Documents_Bart/DONNEES TOITURES/VARIANT/INERTIES/CALCULS/TIRANT/"/>
    </mc:Choice>
  </mc:AlternateContent>
  <xr:revisionPtr revIDLastSave="6" documentId="13_ncr:1_{B289FA17-254E-487F-9C3E-177F85AA9BF5}" xr6:coauthVersionLast="46" xr6:coauthVersionMax="46" xr10:uidLastSave="{DB0DF5B0-6170-4DD8-8C8E-35E9D29BBA86}"/>
  <bookViews>
    <workbookView xWindow="-108" yWindow="-108" windowWidth="23256" windowHeight="12576" firstSheet="2" activeTab="3" xr2:uid="{00000000-000D-0000-FFFF-FFFF00000000}"/>
  </bookViews>
  <sheets>
    <sheet name="Flandria old" sheetId="1" state="hidden" r:id="rId1"/>
    <sheet name="Flandria new" sheetId="3" state="hidden" r:id="rId2"/>
    <sheet name="Nombre de tirant" sheetId="17" r:id="rId3"/>
    <sheet name="Longueurs tirant" sheetId="20" r:id="rId4"/>
  </sheets>
  <definedNames>
    <definedName name="Coeff_Pente">'Flandria old'!$P$14:$Q$31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20" l="1"/>
  <c r="H14" i="20"/>
  <c r="I10" i="20"/>
  <c r="H10" i="20"/>
  <c r="G10" i="20"/>
  <c r="F10" i="20"/>
  <c r="G14" i="20"/>
  <c r="F14" i="20"/>
  <c r="D5" i="17"/>
  <c r="E33" i="17" s="1"/>
  <c r="F33" i="17" s="1"/>
  <c r="G16" i="17"/>
  <c r="G10" i="1"/>
  <c r="D10" i="1" s="1"/>
  <c r="G18" i="1"/>
  <c r="E36" i="1" s="1"/>
  <c r="E35" i="1"/>
  <c r="E14" i="17"/>
  <c r="E32" i="17" s="1"/>
  <c r="F44" i="17"/>
  <c r="F49" i="17"/>
  <c r="F55" i="17"/>
  <c r="E57" i="17"/>
  <c r="F57" i="17"/>
  <c r="F59" i="17"/>
  <c r="F63" i="17"/>
  <c r="F65" i="17"/>
  <c r="F67" i="17"/>
  <c r="F73" i="17"/>
  <c r="F83" i="17" s="1"/>
  <c r="F74" i="17"/>
  <c r="F84" i="17"/>
  <c r="F75" i="17"/>
  <c r="F78" i="17"/>
  <c r="F79" i="17"/>
  <c r="F80" i="17"/>
  <c r="F85" i="17"/>
  <c r="G172" i="17"/>
  <c r="G175" i="17" s="1"/>
  <c r="G177" i="17" s="1"/>
  <c r="G173" i="17"/>
  <c r="G174" i="17"/>
  <c r="G179" i="17"/>
  <c r="F180" i="17"/>
  <c r="G180" i="17"/>
  <c r="F181" i="17"/>
  <c r="G185" i="17"/>
  <c r="G198" i="17"/>
  <c r="G7" i="3"/>
  <c r="G18" i="3"/>
  <c r="E36" i="3" s="1"/>
  <c r="F36" i="3" s="1"/>
  <c r="E35" i="3"/>
  <c r="F35" i="3" s="1"/>
  <c r="G10" i="3"/>
  <c r="D10" i="3" s="1"/>
  <c r="G200" i="3"/>
  <c r="G174" i="3"/>
  <c r="G175" i="3"/>
  <c r="G176" i="3"/>
  <c r="G187" i="3"/>
  <c r="F182" i="3"/>
  <c r="F183" i="3"/>
  <c r="G182" i="3"/>
  <c r="G181" i="3"/>
  <c r="E16" i="3"/>
  <c r="E34" i="3" s="1"/>
  <c r="F77" i="3"/>
  <c r="F87" i="3" s="1"/>
  <c r="F76" i="3"/>
  <c r="F86" i="3" s="1"/>
  <c r="F75" i="3"/>
  <c r="F85" i="3" s="1"/>
  <c r="F82" i="3"/>
  <c r="F81" i="3"/>
  <c r="F80" i="3"/>
  <c r="F69" i="3"/>
  <c r="F67" i="3"/>
  <c r="F65" i="3"/>
  <c r="E59" i="3"/>
  <c r="F61" i="3"/>
  <c r="F59" i="3"/>
  <c r="H59" i="3" s="1"/>
  <c r="F57" i="3"/>
  <c r="F51" i="3"/>
  <c r="F46" i="3"/>
  <c r="F16" i="3"/>
  <c r="F35" i="1"/>
  <c r="E16" i="1"/>
  <c r="E34" i="1" s="1"/>
  <c r="F34" i="1" s="1"/>
  <c r="F82" i="1"/>
  <c r="F81" i="1"/>
  <c r="F77" i="1"/>
  <c r="F87" i="1" s="1"/>
  <c r="F76" i="1"/>
  <c r="F86" i="1"/>
  <c r="F75" i="1"/>
  <c r="F85" i="1"/>
  <c r="F80" i="1"/>
  <c r="F69" i="1"/>
  <c r="F67" i="1"/>
  <c r="F65" i="1"/>
  <c r="E59" i="1"/>
  <c r="F61" i="1"/>
  <c r="F59" i="1"/>
  <c r="F57" i="1"/>
  <c r="F51" i="1"/>
  <c r="F46" i="1"/>
  <c r="F183" i="1"/>
  <c r="G182" i="1"/>
  <c r="F182" i="1"/>
  <c r="G181" i="1"/>
  <c r="G174" i="1"/>
  <c r="G175" i="1"/>
  <c r="G176" i="1"/>
  <c r="G200" i="1"/>
  <c r="G187" i="1"/>
  <c r="F16" i="1"/>
  <c r="F14" i="17"/>
  <c r="G59" i="3"/>
  <c r="H57" i="17"/>
  <c r="F179" i="17" l="1"/>
  <c r="F185" i="17" s="1"/>
  <c r="G188" i="17"/>
  <c r="F194" i="17" s="1"/>
  <c r="G177" i="1"/>
  <c r="G179" i="1" s="1"/>
  <c r="H59" i="1"/>
  <c r="G57" i="17"/>
  <c r="G177" i="3"/>
  <c r="G179" i="3" s="1"/>
  <c r="F181" i="3" s="1"/>
  <c r="F187" i="3" s="1"/>
  <c r="F36" i="1"/>
  <c r="F38" i="1" s="1"/>
  <c r="F39" i="1" s="1"/>
  <c r="E38" i="1"/>
  <c r="F32" i="17"/>
  <c r="F181" i="1"/>
  <c r="F187" i="1" s="1"/>
  <c r="G190" i="1"/>
  <c r="F34" i="3"/>
  <c r="F38" i="3" s="1"/>
  <c r="F39" i="3" s="1"/>
  <c r="E38" i="3"/>
  <c r="F193" i="17"/>
  <c r="F198" i="17" s="1"/>
  <c r="G59" i="1"/>
  <c r="E34" i="17"/>
  <c r="F34" i="17" s="1"/>
  <c r="G8" i="17"/>
  <c r="D8" i="17" s="1"/>
  <c r="G190" i="3" l="1"/>
  <c r="F195" i="1"/>
  <c r="F196" i="1"/>
  <c r="F196" i="3"/>
  <c r="F195" i="3"/>
  <c r="F200" i="3" s="1"/>
  <c r="E36" i="17"/>
  <c r="F36" i="17"/>
  <c r="F37" i="17" s="1"/>
  <c r="E56" i="3"/>
  <c r="E57" i="3" s="1"/>
  <c r="E80" i="3"/>
  <c r="J40" i="3"/>
  <c r="E75" i="3"/>
  <c r="E51" i="3"/>
  <c r="E66" i="3"/>
  <c r="E64" i="3"/>
  <c r="J39" i="3"/>
  <c r="E76" i="3"/>
  <c r="E46" i="3"/>
  <c r="E76" i="1"/>
  <c r="E51" i="1"/>
  <c r="E56" i="1"/>
  <c r="E57" i="1" s="1"/>
  <c r="J39" i="1"/>
  <c r="J40" i="1"/>
  <c r="E46" i="1"/>
  <c r="E80" i="1"/>
  <c r="E64" i="1"/>
  <c r="E75" i="1"/>
  <c r="E66" i="1"/>
  <c r="E61" i="3" l="1"/>
  <c r="H57" i="3"/>
  <c r="G57" i="3"/>
  <c r="G80" i="3"/>
  <c r="E82" i="3"/>
  <c r="H80" i="3"/>
  <c r="E81" i="1"/>
  <c r="E82" i="1" s="1"/>
  <c r="E65" i="1"/>
  <c r="E85" i="1"/>
  <c r="E44" i="17"/>
  <c r="E54" i="17"/>
  <c r="E55" i="17" s="1"/>
  <c r="E78" i="17"/>
  <c r="E49" i="17"/>
  <c r="E62" i="17"/>
  <c r="E64" i="17"/>
  <c r="J37" i="17"/>
  <c r="J38" i="17"/>
  <c r="E73" i="17"/>
  <c r="E74" i="17"/>
  <c r="E86" i="3"/>
  <c r="E67" i="3"/>
  <c r="H76" i="3"/>
  <c r="G76" i="3"/>
  <c r="E85" i="3"/>
  <c r="E65" i="3"/>
  <c r="E81" i="3"/>
  <c r="H57" i="1"/>
  <c r="G57" i="1"/>
  <c r="E61" i="1"/>
  <c r="G51" i="3"/>
  <c r="K8" i="3" s="1"/>
  <c r="H51" i="3"/>
  <c r="H46" i="3"/>
  <c r="G46" i="3"/>
  <c r="K7" i="3" s="1"/>
  <c r="G46" i="1"/>
  <c r="K7" i="1" s="1"/>
  <c r="H46" i="1"/>
  <c r="E86" i="1"/>
  <c r="E67" i="1"/>
  <c r="G51" i="1"/>
  <c r="K8" i="1" s="1"/>
  <c r="H51" i="1"/>
  <c r="G75" i="3"/>
  <c r="E77" i="3"/>
  <c r="H75" i="3"/>
  <c r="H80" i="1"/>
  <c r="G80" i="1"/>
  <c r="H75" i="1"/>
  <c r="E77" i="1"/>
  <c r="G75" i="1"/>
  <c r="G76" i="1"/>
  <c r="H76" i="1"/>
  <c r="F200" i="1"/>
  <c r="G85" i="3" l="1"/>
  <c r="H85" i="3"/>
  <c r="E87" i="3"/>
  <c r="E69" i="1"/>
  <c r="G65" i="1"/>
  <c r="H65" i="1"/>
  <c r="E83" i="17"/>
  <c r="E79" i="17"/>
  <c r="E80" i="17" s="1"/>
  <c r="E63" i="17"/>
  <c r="G77" i="1"/>
  <c r="H77" i="1"/>
  <c r="E84" i="17"/>
  <c r="E65" i="17"/>
  <c r="H81" i="1"/>
  <c r="G81" i="1"/>
  <c r="G49" i="17"/>
  <c r="K6" i="17" s="1"/>
  <c r="H49" i="17"/>
  <c r="G82" i="3"/>
  <c r="H82" i="3"/>
  <c r="G82" i="1"/>
  <c r="H82" i="1"/>
  <c r="H86" i="1"/>
  <c r="G86" i="1"/>
  <c r="H86" i="3"/>
  <c r="G86" i="3"/>
  <c r="H78" i="17"/>
  <c r="G78" i="17"/>
  <c r="H61" i="1"/>
  <c r="G61" i="1"/>
  <c r="K9" i="1" s="1"/>
  <c r="G74" i="17"/>
  <c r="H74" i="17"/>
  <c r="E59" i="17"/>
  <c r="H55" i="17"/>
  <c r="G55" i="17"/>
  <c r="K9" i="3"/>
  <c r="H67" i="3"/>
  <c r="G67" i="3"/>
  <c r="G73" i="17"/>
  <c r="E75" i="17"/>
  <c r="H73" i="17"/>
  <c r="H44" i="17"/>
  <c r="G44" i="17"/>
  <c r="K5" i="17" s="1"/>
  <c r="H67" i="1"/>
  <c r="G67" i="1"/>
  <c r="H81" i="3"/>
  <c r="G81" i="3"/>
  <c r="H77" i="3"/>
  <c r="G77" i="3"/>
  <c r="G65" i="3"/>
  <c r="E69" i="3"/>
  <c r="H65" i="3"/>
  <c r="H85" i="1"/>
  <c r="G85" i="1"/>
  <c r="E87" i="1"/>
  <c r="G61" i="3"/>
  <c r="H61" i="3"/>
  <c r="G79" i="17" l="1"/>
  <c r="H79" i="17"/>
  <c r="H83" i="17"/>
  <c r="E85" i="17"/>
  <c r="G83" i="17"/>
  <c r="H80" i="17"/>
  <c r="G80" i="17"/>
  <c r="H65" i="17"/>
  <c r="G65" i="17"/>
  <c r="H59" i="17"/>
  <c r="G59" i="17"/>
  <c r="K7" i="17" s="1"/>
  <c r="G84" i="17"/>
  <c r="H84" i="17"/>
  <c r="G69" i="1"/>
  <c r="K10" i="1" s="1"/>
  <c r="H69" i="1"/>
  <c r="H69" i="3"/>
  <c r="G69" i="3"/>
  <c r="K10" i="3"/>
  <c r="G75" i="17"/>
  <c r="H75" i="17"/>
  <c r="H87" i="3"/>
  <c r="G87" i="3"/>
  <c r="K11" i="3" s="1"/>
  <c r="H87" i="1"/>
  <c r="G87" i="1"/>
  <c r="K11" i="1" s="1"/>
  <c r="E67" i="17"/>
  <c r="G63" i="17"/>
  <c r="H63" i="17"/>
  <c r="G85" i="17" l="1"/>
  <c r="K9" i="17" s="1"/>
  <c r="H85" i="17"/>
  <c r="H67" i="17"/>
  <c r="G67" i="17"/>
  <c r="K8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Benoit</author>
  </authors>
  <commentList>
    <comment ref="G1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Coefficient de réduction du poids de la neige à cause de l'angle theta: por example: 
0° -&gt; réduction = 1 (tout le poids de la neige compte)
60° -&gt; réduction = 0 (la neige tombe, son poids ne compte pas)</t>
        </r>
      </text>
    </comment>
    <comment ref="E17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[examples] couverture Acryl 16: 5,0 kg/m², couverture Verre Feuilleté: 20 kg/m², couverture Double Vitrage: 35 kg/m²</t>
        </r>
      </text>
    </comment>
    <comment ref="E18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[4 types de charges de neige] Région A: 35 kg/m², Région B: 45 kg/m², Région C: 55 kg/m², Région D: 80 kg/m²</t>
        </r>
      </text>
    </comment>
    <comment ref="E2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Résistance à la traction Rm mini.</t>
        </r>
      </text>
    </comment>
    <comment ref="F2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Limite conventionnelle d'élasticité à 0.2% Rp0.2 mini.</t>
        </r>
      </text>
    </comment>
    <comment ref="G21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Limite de tension de cisaillement
</t>
        </r>
      </text>
    </comment>
    <comment ref="H21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Betekenis alle variabelen: zie bladen uitleg</t>
        </r>
      </text>
    </comment>
    <comment ref="E25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Résistance à la traction Rm mini.</t>
        </r>
      </text>
    </comment>
    <comment ref="F25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Limite conventionnelle d'élasticité à 0.2% Rp0.2 mini.</t>
        </r>
      </text>
    </comment>
    <comment ref="G25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Limite de tension de cisaillement
</t>
        </r>
      </text>
    </comment>
    <comment ref="E26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Waarden genomen als de laagste waarden voor Aluminium gegoten stukken op http://www.azom.com/details.asp?ArticleID=2863#_Mechanical_Properties</t>
        </r>
      </text>
    </comment>
    <comment ref="F26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Waarden genomen als de laagste waarden voor Aluminium gegoten stukken op http://www.azom.com/details.asp?ArticleID=2863#_Mechanical_Properties</t>
        </r>
      </text>
    </comment>
    <comment ref="G26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Waarden genomen als de laagste waarden voor Aluminium gegoten stukken op http://www.azom.com/details.asp?ArticleID=2863#_Mechanical_Properties
</t>
        </r>
      </text>
    </comment>
    <comment ref="E27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Betekenis alle variabelen: zie bladen uitleg</t>
        </r>
      </text>
    </comment>
    <comment ref="F27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Betekenis alle variabelen: zie bladen uitleg</t>
        </r>
      </text>
    </comment>
    <comment ref="G27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Betekenis alle variabelen: zie bladen uitleg</t>
        </r>
      </text>
    </comment>
    <comment ref="H27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Betekenis alle variabelen: zie bladen uitleg</t>
        </r>
      </text>
    </comment>
    <comment ref="I27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Betekenis alle variabelen: zie bladen uitleg</t>
        </r>
      </text>
    </comment>
    <comment ref="J27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Betekenis alle variabelen: zie bladen uitleg</t>
        </r>
      </text>
    </comment>
    <comment ref="C46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traction</t>
        </r>
      </text>
    </comment>
    <comment ref="C51" authorId="0" shapeId="0" xr:uid="{00000000-0006-0000-0000-000015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cisaillement
</t>
        </r>
      </text>
    </comment>
    <comment ref="C56" authorId="0" shapeId="0" xr:uid="{00000000-0006-0000-0000-000016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Force de traction</t>
        </r>
      </text>
    </comment>
    <comment ref="C57" authorId="0" shapeId="0" xr:uid="{00000000-0006-0000-0000-000017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traction</t>
        </r>
      </text>
    </comment>
    <comment ref="C58" authorId="0" shapeId="0" xr:uid="{00000000-0006-0000-0000-000018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Force de cisaillement</t>
        </r>
      </text>
    </comment>
    <comment ref="C59" authorId="0" shapeId="0" xr:uid="{00000000-0006-0000-0000-000019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cisaillement
</t>
        </r>
      </text>
    </comment>
    <comment ref="C64" authorId="0" shapeId="0" xr:uid="{00000000-0006-0000-0000-00001A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Force de traction</t>
        </r>
      </text>
    </comment>
    <comment ref="C65" authorId="0" shapeId="0" xr:uid="{00000000-0006-0000-0000-00001B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traction</t>
        </r>
      </text>
    </comment>
    <comment ref="C66" authorId="0" shapeId="0" xr:uid="{00000000-0006-0000-0000-00001C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Force de cisaillement</t>
        </r>
      </text>
    </comment>
    <comment ref="C67" authorId="0" shapeId="0" xr:uid="{00000000-0006-0000-0000-00001D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cisaillement
</t>
        </r>
      </text>
    </comment>
    <comment ref="B74" authorId="0" shapeId="0" xr:uid="{00000000-0006-0000-0000-00001E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P: zie formularium sterkteleer</t>
        </r>
      </text>
    </comment>
    <comment ref="C75" authorId="0" shapeId="0" xr:uid="{00000000-0006-0000-0000-00001F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cisaillement par Dt
</t>
        </r>
      </text>
    </comment>
    <comment ref="C76" authorId="0" shapeId="0" xr:uid="{00000000-0006-0000-0000-000020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traction par Dn
</t>
        </r>
      </text>
    </comment>
    <comment ref="C77" authorId="0" shapeId="0" xr:uid="{00000000-0006-0000-0000-000021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traction equivalente
</t>
        </r>
      </text>
    </comment>
    <comment ref="B79" authorId="0" shapeId="0" xr:uid="{00000000-0006-0000-0000-000022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Q: zie formularium sterkteleer</t>
        </r>
      </text>
    </comment>
    <comment ref="C80" authorId="0" shapeId="0" xr:uid="{00000000-0006-0000-0000-000023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traction par Dt et Dn
</t>
        </r>
      </text>
    </comment>
    <comment ref="C81" authorId="0" shapeId="0" xr:uid="{00000000-0006-0000-0000-000024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traction par T2 et par le couple de N2
</t>
        </r>
      </text>
    </comment>
    <comment ref="C82" authorId="0" shapeId="0" xr:uid="{00000000-0006-0000-0000-000025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traction equivalente
</t>
        </r>
      </text>
    </comment>
    <comment ref="B84" authorId="0" shapeId="0" xr:uid="{00000000-0006-0000-0000-000026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P: zie formularium sterkteleer</t>
        </r>
      </text>
    </comment>
    <comment ref="C85" authorId="0" shapeId="0" xr:uid="{00000000-0006-0000-0000-000027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cisaillement par T2
</t>
        </r>
      </text>
    </comment>
    <comment ref="C86" authorId="0" shapeId="0" xr:uid="{00000000-0006-0000-0000-000028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traction par N2
</t>
        </r>
      </text>
    </comment>
    <comment ref="C87" authorId="0" shapeId="0" xr:uid="{00000000-0006-0000-0000-000029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traction equivalente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Benoit</author>
  </authors>
  <commentList>
    <comment ref="G15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Coefficient de réduction du poids de la neige à cause de l'angle theta: por example: 
0° -&gt; réduction = 1 (tout le poids de la neige compte)
60° -&gt; réduction = 0 (la neige tombe, son poids ne compte pas)</t>
        </r>
      </text>
    </comment>
    <comment ref="E17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[examples] couverture Acryl 16: 5,0 kg/m², couverture Verre Feuilleté: 20 kg/m², couverture Double Vitrage: 35 kg/m²</t>
        </r>
      </text>
    </comment>
    <comment ref="E18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[4 types de charges de neige] Région A: 35 kg/m², Région B: 45 kg/m², Région C: 55 kg/m², Région D: 80 kg/m²</t>
        </r>
      </text>
    </comment>
    <comment ref="E21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Résistance à la traction Rm mini.</t>
        </r>
      </text>
    </comment>
    <comment ref="F21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Limite conventionnelle d'élasticité à 0.2% Rp0.2 mini.</t>
        </r>
      </text>
    </comment>
    <comment ref="G21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Limite de tension de cisaillement
</t>
        </r>
      </text>
    </comment>
    <comment ref="H21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Betekenis alle variabelen: zie bladen uitleg</t>
        </r>
      </text>
    </comment>
    <comment ref="E25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Résistance à la traction Rm mini.</t>
        </r>
      </text>
    </comment>
    <comment ref="F25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Limite conventionnelle d'élasticité à 0.2% Rp0.2 mini.</t>
        </r>
      </text>
    </comment>
    <comment ref="G25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Limite de tension de cisaillement
</t>
        </r>
      </text>
    </comment>
    <comment ref="E26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Waarden genomen als de beste waarden voor Aluminium gegoten stukken op http://www.azom.com/details.asp?ArticleID=2863#_Mechanical_Properties</t>
        </r>
      </text>
    </comment>
    <comment ref="F26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Waarden genomen als de beste waarden voor Aluminium gegoten stukken op http://www.azom.com/details.asp?ArticleID=2863#_Mechanical_Properties</t>
        </r>
      </text>
    </comment>
    <comment ref="G26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Waarden genomen als de beste waarden voor Aluminium gegoten stukken op http://www.azom.com/details.asp?ArticleID=2863#_Mechanical_Properties
</t>
        </r>
      </text>
    </comment>
    <comment ref="E27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Betekenis alle variabelen: zie bladen uitleg</t>
        </r>
      </text>
    </comment>
    <comment ref="F27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Betekenis alle variabelen: zie bladen uitleg</t>
        </r>
      </text>
    </comment>
    <comment ref="G27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Betekenis alle variabelen: zie bladen uitleg</t>
        </r>
      </text>
    </comment>
    <comment ref="H27" authorId="0" shapeId="0" xr:uid="{00000000-0006-0000-0100-000011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Betekenis alle variabelen: zie bladen uitleg</t>
        </r>
      </text>
    </comment>
    <comment ref="I27" authorId="0" shapeId="0" xr:uid="{00000000-0006-0000-0100-000012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Betekenis alle variabelen: zie bladen uitleg</t>
        </r>
      </text>
    </comment>
    <comment ref="J27" authorId="0" shapeId="0" xr:uid="{00000000-0006-0000-0100-000013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Betekenis alle variabelen: zie bladen uitleg</t>
        </r>
      </text>
    </comment>
    <comment ref="C46" authorId="0" shapeId="0" xr:uid="{00000000-0006-0000-0100-000014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traction</t>
        </r>
      </text>
    </comment>
    <comment ref="C51" authorId="0" shapeId="0" xr:uid="{00000000-0006-0000-0100-000015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cisaillement
</t>
        </r>
      </text>
    </comment>
    <comment ref="C56" authorId="0" shapeId="0" xr:uid="{00000000-0006-0000-0100-000016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Force de traction</t>
        </r>
      </text>
    </comment>
    <comment ref="C57" authorId="0" shapeId="0" xr:uid="{00000000-0006-0000-0100-000017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traction</t>
        </r>
      </text>
    </comment>
    <comment ref="C58" authorId="0" shapeId="0" xr:uid="{00000000-0006-0000-0100-000018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Force de cisaillement</t>
        </r>
      </text>
    </comment>
    <comment ref="C59" authorId="0" shapeId="0" xr:uid="{00000000-0006-0000-0100-000019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cisaillement
</t>
        </r>
      </text>
    </comment>
    <comment ref="C64" authorId="0" shapeId="0" xr:uid="{00000000-0006-0000-0100-00001A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Force de traction</t>
        </r>
      </text>
    </comment>
    <comment ref="C65" authorId="0" shapeId="0" xr:uid="{00000000-0006-0000-0100-00001B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traction</t>
        </r>
      </text>
    </comment>
    <comment ref="C66" authorId="0" shapeId="0" xr:uid="{00000000-0006-0000-0100-00001C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Force de cisaillement</t>
        </r>
      </text>
    </comment>
    <comment ref="C67" authorId="0" shapeId="0" xr:uid="{00000000-0006-0000-0100-00001D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cisaillement
</t>
        </r>
      </text>
    </comment>
    <comment ref="B74" authorId="0" shapeId="0" xr:uid="{00000000-0006-0000-0100-00001E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P: zie formularium sterkteleer</t>
        </r>
      </text>
    </comment>
    <comment ref="C75" authorId="0" shapeId="0" xr:uid="{00000000-0006-0000-0100-00001F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cisaillement par Dt
</t>
        </r>
      </text>
    </comment>
    <comment ref="C76" authorId="0" shapeId="0" xr:uid="{00000000-0006-0000-0100-000020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traction par Dn
</t>
        </r>
      </text>
    </comment>
    <comment ref="C77" authorId="0" shapeId="0" xr:uid="{00000000-0006-0000-0100-000021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traction equivalente
</t>
        </r>
      </text>
    </comment>
    <comment ref="B79" authorId="0" shapeId="0" xr:uid="{00000000-0006-0000-0100-000022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Q: zie formularium sterkteleer</t>
        </r>
      </text>
    </comment>
    <comment ref="C80" authorId="0" shapeId="0" xr:uid="{00000000-0006-0000-0100-000023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traction par Dt et Dn
</t>
        </r>
      </text>
    </comment>
    <comment ref="C81" authorId="0" shapeId="0" xr:uid="{00000000-0006-0000-0100-000024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traction par T2 et par le couple de N2
</t>
        </r>
      </text>
    </comment>
    <comment ref="C82" authorId="0" shapeId="0" xr:uid="{00000000-0006-0000-0100-000025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traction equivalente
</t>
        </r>
      </text>
    </comment>
    <comment ref="B84" authorId="0" shapeId="0" xr:uid="{00000000-0006-0000-0100-000026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P: zie formularium sterkteleer</t>
        </r>
      </text>
    </comment>
    <comment ref="C85" authorId="0" shapeId="0" xr:uid="{00000000-0006-0000-0100-000027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cisaillement par T2
</t>
        </r>
      </text>
    </comment>
    <comment ref="C86" authorId="0" shapeId="0" xr:uid="{00000000-0006-0000-0100-000028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traction par N2
</t>
        </r>
      </text>
    </comment>
    <comment ref="C87" authorId="0" shapeId="0" xr:uid="{00000000-0006-0000-0100-000029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traction equivalente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Benoit</author>
  </authors>
  <commentList>
    <comment ref="G1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Coefficient de réduction du poids de la neige à cause de l'angle theta: por example: 
0° -&gt; réduction = 1 (tout le poids de la neige compte)
60° -&gt; réduction = 0 (la neige tombe, son poids ne compte pas)</t>
        </r>
      </text>
    </comment>
    <comment ref="E15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[examples] couverture Acryl 16: 5,0 kg/m², couverture Verre Feuilleté: 20 kg/m², couverture Double Vitrage: 35 kg/m²</t>
        </r>
      </text>
    </comment>
    <comment ref="E16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[4 types de charges de neige] Région A: 35 kg/m², Région B: 45 kg/m², Région C: 55 kg/m², Région D: 80 kg/m²</t>
        </r>
      </text>
    </comment>
    <comment ref="E19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Résistance à la traction Rm mini.</t>
        </r>
      </text>
    </comment>
    <comment ref="F19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Limite conventionnelle d'élasticité à 0.2% Rp0.2 mini.</t>
        </r>
      </text>
    </comment>
    <comment ref="G19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Limite de tension de cisaillement
</t>
        </r>
      </text>
    </comment>
    <comment ref="H19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Betekenis alle variabelen: zie bladen uitleg</t>
        </r>
      </text>
    </comment>
    <comment ref="E23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Résistance à la traction Rm mini.</t>
        </r>
      </text>
    </comment>
    <comment ref="F23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Limite conventionnelle d'élasticité à 0.2% Rp0.2 mini.</t>
        </r>
      </text>
    </comment>
    <comment ref="G23" authorId="0" shapeId="0" xr:uid="{00000000-0006-0000-0200-00000A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Limite de tension de cisaillement
</t>
        </r>
      </text>
    </comment>
    <comment ref="E24" authorId="0" shapeId="0" xr:uid="{00000000-0006-0000-0200-00000B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Waarden genomen als de beste waarden voor Aluminium gegoten stukken op http://www.azom.com/details.asp?ArticleID=2863#_Mechanical_Properties</t>
        </r>
      </text>
    </comment>
    <comment ref="F24" authorId="0" shapeId="0" xr:uid="{00000000-0006-0000-0200-00000C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Waarden genomen als de beste waarden voor Aluminium gegoten stukken op http://www.azom.com/details.asp?ArticleID=2863#_Mechanical_Properties</t>
        </r>
      </text>
    </comment>
    <comment ref="G24" authorId="0" shapeId="0" xr:uid="{00000000-0006-0000-0200-00000D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Waarden genomen als de beste waarden voor Aluminium gegoten stukken op http://www.azom.com/details.asp?ArticleID=2863#_Mechanical_Properties
</t>
        </r>
      </text>
    </comment>
    <comment ref="E25" authorId="0" shapeId="0" xr:uid="{00000000-0006-0000-0200-00000E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Betekenis alle variabelen: zie bladen uitleg</t>
        </r>
      </text>
    </comment>
    <comment ref="F25" authorId="0" shapeId="0" xr:uid="{00000000-0006-0000-0200-00000F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Betekenis alle variabelen: zie bladen uitleg</t>
        </r>
      </text>
    </comment>
    <comment ref="G25" authorId="0" shapeId="0" xr:uid="{00000000-0006-0000-0200-000010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Betekenis alle variabelen: zie bladen uitleg</t>
        </r>
      </text>
    </comment>
    <comment ref="H25" authorId="0" shapeId="0" xr:uid="{00000000-0006-0000-0200-000011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Betekenis alle variabelen: zie bladen uitleg</t>
        </r>
      </text>
    </comment>
    <comment ref="I25" authorId="0" shapeId="0" xr:uid="{00000000-0006-0000-0200-000012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Betekenis alle variabelen: zie bladen uitleg</t>
        </r>
      </text>
    </comment>
    <comment ref="J25" authorId="0" shapeId="0" xr:uid="{00000000-0006-0000-0200-000013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Betekenis alle variabelen: zie bladen uitleg</t>
        </r>
      </text>
    </comment>
    <comment ref="C44" authorId="0" shapeId="0" xr:uid="{00000000-0006-0000-0200-000014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traction</t>
        </r>
      </text>
    </comment>
    <comment ref="C49" authorId="0" shapeId="0" xr:uid="{00000000-0006-0000-0200-000015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cisaillement
</t>
        </r>
      </text>
    </comment>
    <comment ref="C54" authorId="0" shapeId="0" xr:uid="{00000000-0006-0000-0200-000016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Force de traction</t>
        </r>
      </text>
    </comment>
    <comment ref="C55" authorId="0" shapeId="0" xr:uid="{00000000-0006-0000-0200-000017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traction</t>
        </r>
      </text>
    </comment>
    <comment ref="C56" authorId="0" shapeId="0" xr:uid="{00000000-0006-0000-0200-000018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Force de cisaillement</t>
        </r>
      </text>
    </comment>
    <comment ref="C57" authorId="0" shapeId="0" xr:uid="{00000000-0006-0000-0200-000019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cisaillement
</t>
        </r>
      </text>
    </comment>
    <comment ref="C62" authorId="0" shapeId="0" xr:uid="{00000000-0006-0000-0200-00001A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Force de traction</t>
        </r>
      </text>
    </comment>
    <comment ref="C63" authorId="0" shapeId="0" xr:uid="{00000000-0006-0000-0200-00001B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traction</t>
        </r>
      </text>
    </comment>
    <comment ref="C64" authorId="0" shapeId="0" xr:uid="{00000000-0006-0000-0200-00001C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Force de cisaillement</t>
        </r>
      </text>
    </comment>
    <comment ref="C65" authorId="0" shapeId="0" xr:uid="{00000000-0006-0000-0200-00001D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cisaillement
</t>
        </r>
      </text>
    </comment>
    <comment ref="B72" authorId="0" shapeId="0" xr:uid="{00000000-0006-0000-0200-00001E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P: zie formularium sterkteleer</t>
        </r>
      </text>
    </comment>
    <comment ref="C73" authorId="0" shapeId="0" xr:uid="{00000000-0006-0000-0200-00001F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cisaillement par Dt
</t>
        </r>
      </text>
    </comment>
    <comment ref="C74" authorId="0" shapeId="0" xr:uid="{00000000-0006-0000-0200-000020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traction par Dn
</t>
        </r>
      </text>
    </comment>
    <comment ref="C75" authorId="0" shapeId="0" xr:uid="{00000000-0006-0000-0200-000021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traction equivalente
</t>
        </r>
      </text>
    </comment>
    <comment ref="B77" authorId="0" shapeId="0" xr:uid="{00000000-0006-0000-0200-000022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Q: zie formularium sterkteleer</t>
        </r>
      </text>
    </comment>
    <comment ref="C78" authorId="0" shapeId="0" xr:uid="{00000000-0006-0000-0200-000023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traction par Dt et Dn
</t>
        </r>
      </text>
    </comment>
    <comment ref="C79" authorId="0" shapeId="0" xr:uid="{00000000-0006-0000-0200-000024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traction par T2 et par le couple de N2
</t>
        </r>
      </text>
    </comment>
    <comment ref="C80" authorId="0" shapeId="0" xr:uid="{00000000-0006-0000-0200-000025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traction equivalente
</t>
        </r>
      </text>
    </comment>
    <comment ref="B82" authorId="0" shapeId="0" xr:uid="{00000000-0006-0000-0200-000026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P: zie formularium sterkteleer</t>
        </r>
      </text>
    </comment>
    <comment ref="C83" authorId="0" shapeId="0" xr:uid="{00000000-0006-0000-0200-000027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cisaillement par T2
</t>
        </r>
      </text>
    </comment>
    <comment ref="C84" authorId="0" shapeId="0" xr:uid="{00000000-0006-0000-0200-000028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de traction par N2
</t>
        </r>
      </text>
    </comment>
    <comment ref="C85" authorId="0" shapeId="0" xr:uid="{00000000-0006-0000-0200-000029000000}">
      <text>
        <r>
          <rPr>
            <b/>
            <sz val="8"/>
            <color indexed="81"/>
            <rFont val="Tahoma"/>
            <family val="2"/>
          </rPr>
          <t>Benoit:</t>
        </r>
        <r>
          <rPr>
            <sz val="8"/>
            <color indexed="81"/>
            <rFont val="Tahoma"/>
            <family val="2"/>
          </rPr>
          <t xml:space="preserve">
Contrainte traction equivalente
</t>
        </r>
      </text>
    </comment>
  </commentList>
</comments>
</file>

<file path=xl/sharedStrings.xml><?xml version="1.0" encoding="utf-8"?>
<sst xmlns="http://schemas.openxmlformats.org/spreadsheetml/2006/main" count="438" uniqueCount="139">
  <si>
    <t>Couverture:</t>
  </si>
  <si>
    <t>Neige:</t>
  </si>
  <si>
    <t>Longeur L =</t>
  </si>
  <si>
    <t>Pas des Porteurs P =</t>
  </si>
  <si>
    <r>
      <t xml:space="preserve">Angle </t>
    </r>
    <r>
      <rPr>
        <b/>
        <i/>
        <sz val="10"/>
        <rFont val="Symbol"/>
        <family val="1"/>
        <charset val="2"/>
      </rPr>
      <t>Q =</t>
    </r>
  </si>
  <si>
    <t>Données géométriques générales</t>
  </si>
  <si>
    <t>Réf.</t>
  </si>
  <si>
    <t>Poids</t>
  </si>
  <si>
    <t>Longeur</t>
  </si>
  <si>
    <t>Données des jonctions critiques</t>
  </si>
  <si>
    <t>L</t>
  </si>
  <si>
    <t>L drager</t>
  </si>
  <si>
    <t>Pas</t>
  </si>
  <si>
    <t>Drager</t>
  </si>
  <si>
    <t>Glas</t>
  </si>
  <si>
    <t>Sneeuw</t>
  </si>
  <si>
    <t>Newton per verbinding</t>
  </si>
  <si>
    <t>Schuifspanning 1</t>
  </si>
  <si>
    <t>Waarde</t>
  </si>
  <si>
    <t>Limiet</t>
  </si>
  <si>
    <t>Schuifspanning2</t>
  </si>
  <si>
    <t>D</t>
  </si>
  <si>
    <t>Trekspanning</t>
  </si>
  <si>
    <t>Vergelijkbare</t>
  </si>
  <si>
    <t>Strekgrens</t>
  </si>
  <si>
    <t>B</t>
  </si>
  <si>
    <t>H</t>
  </si>
  <si>
    <t>Schuifspanning</t>
  </si>
  <si>
    <t>Rm</t>
  </si>
  <si>
    <t>Rp0.2</t>
  </si>
  <si>
    <t>bout</t>
  </si>
  <si>
    <t>profiel</t>
  </si>
  <si>
    <t>Rt</t>
  </si>
  <si>
    <t>Variable d</t>
  </si>
  <si>
    <t>Réduction</t>
  </si>
  <si>
    <t>Calculation de la charge total sur les jonctions</t>
  </si>
  <si>
    <t>Charge</t>
  </si>
  <si>
    <t>Valeur</t>
  </si>
  <si>
    <t>Limite</t>
  </si>
  <si>
    <t>Tension 1:</t>
  </si>
  <si>
    <t>Tension 2:</t>
  </si>
  <si>
    <t>Problèmes</t>
  </si>
  <si>
    <t>Total vertical par jonction:</t>
  </si>
  <si>
    <t>Premier Vis M10</t>
  </si>
  <si>
    <t>Piece de Aluminium Moulé</t>
  </si>
  <si>
    <t>Hauteur Fixation H =</t>
  </si>
  <si>
    <t>Hauteur Maximale H =</t>
  </si>
  <si>
    <t>Variable x1</t>
  </si>
  <si>
    <t>Variable x2</t>
  </si>
  <si>
    <t>Variable z1</t>
  </si>
  <si>
    <t>Variable z2</t>
  </si>
  <si>
    <t>Periode de Tirant n =</t>
  </si>
  <si>
    <t>Deuxième Vis M10</t>
  </si>
  <si>
    <t>Tension:</t>
  </si>
  <si>
    <t>Vis 1</t>
  </si>
  <si>
    <t>Tension totale Vis 1</t>
  </si>
  <si>
    <t>Vis 2</t>
  </si>
  <si>
    <t>Force 1:</t>
  </si>
  <si>
    <t>Force 2:</t>
  </si>
  <si>
    <t>Tension totale Vis 2</t>
  </si>
  <si>
    <t>Valeur/Limite</t>
  </si>
  <si>
    <t>Total horizontal du tirant:</t>
  </si>
  <si>
    <t>Composante traction</t>
  </si>
  <si>
    <t>Composante cisaillement</t>
  </si>
  <si>
    <t>Barre Chevron:</t>
  </si>
  <si>
    <t>En P:</t>
  </si>
  <si>
    <t>En Q:</t>
  </si>
  <si>
    <t>Tension totale 1&amp;2:</t>
  </si>
  <si>
    <t>En R:</t>
  </si>
  <si>
    <t>Variable y1</t>
  </si>
  <si>
    <t>Variable y2</t>
  </si>
  <si>
    <t>Remplissage:</t>
  </si>
  <si>
    <t>Charge de neige:</t>
  </si>
  <si>
    <t>Calcul de la charge total sur les jonctions</t>
  </si>
  <si>
    <t xml:space="preserve">Profondeur véranda P = </t>
  </si>
  <si>
    <t>CALCUL nombre des TIRANTS de la VERANDA VARIANT</t>
  </si>
  <si>
    <t>Calcul de la charge total</t>
  </si>
  <si>
    <t>Données des matériaux utilisés y des charges à supporter</t>
  </si>
  <si>
    <t>Poids remplissage:</t>
  </si>
  <si>
    <t>Poids neige:</t>
  </si>
  <si>
    <t>CELLULES BLUE SONT A REMPLIR PAR VOUS</t>
  </si>
  <si>
    <t>CELLULES ORANGE SONT DONNEES PAR NOUS</t>
  </si>
  <si>
    <t>Pièce de Aluminium Moulé (Chape fixation 742718)</t>
  </si>
  <si>
    <t>Aluminium chape fixation</t>
  </si>
  <si>
    <r>
      <t xml:space="preserve">Vis M10 </t>
    </r>
    <r>
      <rPr>
        <sz val="8.5"/>
        <rFont val="MS Sans Serif"/>
        <family val="2"/>
      </rPr>
      <t>(sur tige filetee)</t>
    </r>
  </si>
  <si>
    <r>
      <t xml:space="preserve">Vis M10 </t>
    </r>
    <r>
      <rPr>
        <sz val="8.5"/>
        <rFont val="MS Sans Serif"/>
        <family val="2"/>
      </rPr>
      <t>(sur étrier fixation)</t>
    </r>
  </si>
  <si>
    <r>
      <t xml:space="preserve">Vis 2 M6 </t>
    </r>
    <r>
      <rPr>
        <sz val="8.5"/>
        <rFont val="MS Sans Serif"/>
        <family val="2"/>
      </rPr>
      <t>(sur chape fixation)</t>
    </r>
  </si>
  <si>
    <r>
      <t>Vis 1 M6</t>
    </r>
    <r>
      <rPr>
        <sz val="8.5"/>
        <rFont val="MS Sans Serif"/>
        <family val="2"/>
      </rPr>
      <t xml:space="preserve"> (sur chape fixation)</t>
    </r>
  </si>
  <si>
    <t>Premier Vis M10 (sur tige filetee 746143)</t>
  </si>
  <si>
    <t>Deuxième Vis M10 (sur étrier fixation 742719)</t>
  </si>
  <si>
    <t>Vis M6 TFHC Noyé ( sur chape fixation 746105)</t>
  </si>
  <si>
    <r>
      <t>Vis M10</t>
    </r>
    <r>
      <rPr>
        <sz val="8.5"/>
        <rFont val="MS Sans Serif"/>
        <family val="2"/>
      </rPr>
      <t xml:space="preserve"> (sur tige filetee)</t>
    </r>
  </si>
  <si>
    <r>
      <t>Vis 1 M8</t>
    </r>
    <r>
      <rPr>
        <sz val="8.5"/>
        <rFont val="MS Sans Serif"/>
        <family val="2"/>
      </rPr>
      <t xml:space="preserve"> (sur chape fixation)</t>
    </r>
  </si>
  <si>
    <r>
      <t>Vis 2 M8</t>
    </r>
    <r>
      <rPr>
        <sz val="8.5"/>
        <rFont val="MS Sans Serif"/>
        <family val="2"/>
      </rPr>
      <t xml:space="preserve"> (sur chape fixation)</t>
    </r>
  </si>
  <si>
    <r>
      <t>Vis M10</t>
    </r>
    <r>
      <rPr>
        <sz val="8.5"/>
        <rFont val="MS Sans Serif"/>
        <family val="2"/>
      </rPr>
      <t xml:space="preserve"> (sur tige filetée)</t>
    </r>
  </si>
  <si>
    <r>
      <t xml:space="preserve">Vis 1 M8 </t>
    </r>
    <r>
      <rPr>
        <sz val="8.5"/>
        <rFont val="MS Sans Serif"/>
        <family val="2"/>
      </rPr>
      <t>(sur chape fixation)</t>
    </r>
  </si>
  <si>
    <r>
      <t xml:space="preserve">Vis 2 M8 </t>
    </r>
    <r>
      <rPr>
        <sz val="8.5"/>
        <rFont val="MS Sans Serif"/>
        <family val="2"/>
      </rPr>
      <t>(sur chape fixation)</t>
    </r>
  </si>
  <si>
    <t>&gt; 100 % = modifier données !</t>
  </si>
  <si>
    <t>Poid remplissage:</t>
  </si>
  <si>
    <t>Poid neige:</t>
  </si>
  <si>
    <t xml:space="preserve">Deuxième Vis M10  </t>
  </si>
  <si>
    <t xml:space="preserve">Vis M6 TFHC Noyé  </t>
  </si>
  <si>
    <t>Premier Vis M10 (sur tige filetée 739014)</t>
  </si>
  <si>
    <t>Vis M10 ( sur étrier fixation 742717)</t>
  </si>
  <si>
    <t>Vis M8 TFHC Noyé (sur chape fixation 742842)</t>
  </si>
  <si>
    <t>Pièce de Aluminium Moulé (shape fixation 742842)</t>
  </si>
  <si>
    <t>Vis M10 (sur tige filetée 739014)</t>
  </si>
  <si>
    <t>Vis M10 (sur étrier fixation 742717)</t>
  </si>
  <si>
    <t>Pièce de Aluminium Moulé (chape fixation 742842)</t>
  </si>
  <si>
    <t>Shape</t>
  </si>
  <si>
    <t>Données générales</t>
  </si>
  <si>
    <r>
      <t xml:space="preserve">&gt;100 % = modifier </t>
    </r>
    <r>
      <rPr>
        <b/>
        <sz val="12"/>
        <color indexed="12"/>
        <rFont val="MS Sans Serif"/>
        <family val="2"/>
      </rPr>
      <t>données</t>
    </r>
    <r>
      <rPr>
        <b/>
        <sz val="12"/>
        <rFont val="MS Sans Serif"/>
        <family val="2"/>
      </rPr>
      <t xml:space="preserve"> !</t>
    </r>
  </si>
  <si>
    <r>
      <t xml:space="preserve">Pente </t>
    </r>
    <r>
      <rPr>
        <b/>
        <i/>
        <sz val="10"/>
        <rFont val="Symbol"/>
        <family val="1"/>
        <charset val="2"/>
      </rPr>
      <t>Q =</t>
    </r>
  </si>
  <si>
    <t>Hauteur fixation H =</t>
  </si>
  <si>
    <t>Periode des tirants n =</t>
  </si>
  <si>
    <t>Hauteur maximale H =</t>
  </si>
  <si>
    <t>DONNEES</t>
  </si>
  <si>
    <t>CALCUL</t>
  </si>
  <si>
    <t>Longueur</t>
  </si>
  <si>
    <t>Hauteur</t>
  </si>
  <si>
    <t>RESIDENCE</t>
  </si>
  <si>
    <t>A REMPLIR              PAR VOUS</t>
  </si>
  <si>
    <t xml:space="preserve"> DONNEES               PAR NOUS</t>
  </si>
  <si>
    <t>VARIANT</t>
  </si>
  <si>
    <t>CALCUL nombre des TIRANTS</t>
  </si>
  <si>
    <t>A REMPLIR PAR VOUS</t>
  </si>
  <si>
    <t>DONNEES PAR NOUS</t>
  </si>
  <si>
    <t>Pas des porteurs T =</t>
  </si>
  <si>
    <t>CALCUL longueurs des TIRANTS</t>
  </si>
  <si>
    <t>pente</t>
  </si>
  <si>
    <t>H tirant</t>
  </si>
  <si>
    <t>L tube Alu</t>
  </si>
  <si>
    <t>L tige Ø10</t>
  </si>
  <si>
    <t>H tube Alu</t>
  </si>
  <si>
    <t>H tige Ø10</t>
  </si>
  <si>
    <t>Longeur chevron l =</t>
  </si>
  <si>
    <t>P véranda</t>
  </si>
  <si>
    <r>
      <t xml:space="preserve">Version 07_2020   </t>
    </r>
    <r>
      <rPr>
        <sz val="10"/>
        <color indexed="10"/>
        <rFont val="MS Sans Serif"/>
        <family val="2"/>
      </rPr>
      <t>Ces valeurs sont données a titre indicatif et n'engagent pas Aluminium Systemes !</t>
    </r>
  </si>
  <si>
    <t>Ces valeurs sont données a titre indicatif et n'engagent pas Aluminium Systemes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</si>
</sst>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64" formatCode="0.0&quot;  Kg/m&quot;"/>
    <numFmt numFmtId="165" formatCode="0&quot;  Kg/mm²&quot;"/>
    <numFmt numFmtId="166" formatCode="&quot;f = 1 / &quot;0"/>
    <numFmt numFmtId="167" formatCode="&quot;C = &quot;?/???"/>
    <numFmt numFmtId="168" formatCode="0&quot;  Kg/m²&quot;"/>
    <numFmt numFmtId="169" formatCode="&quot;Pente = &quot;0&quot;°&quot;"/>
    <numFmt numFmtId="170" formatCode="0.000"/>
    <numFmt numFmtId="171" formatCode="0.0&quot;  Kg/m²&quot;"/>
    <numFmt numFmtId="172" formatCode="0.00&quot;  m&quot;"/>
    <numFmt numFmtId="173" formatCode="0.00&quot; m&quot;"/>
    <numFmt numFmtId="174" formatCode="0&quot;  mm&quot;"/>
    <numFmt numFmtId="175" formatCode="&quot;Poids= &quot;0.0&quot; kg/m&quot;"/>
    <numFmt numFmtId="176" formatCode="&quot;Poids= &quot;0.0&quot; kg/m²&quot;"/>
    <numFmt numFmtId="177" formatCode="0.000&quot; m&quot;"/>
    <numFmt numFmtId="178" formatCode="0&quot; °&quot;"/>
    <numFmt numFmtId="179" formatCode="0.000&quot; kg/m&quot;"/>
    <numFmt numFmtId="180" formatCode="0.000&quot; kg/m²&quot;"/>
    <numFmt numFmtId="181" formatCode="0.00E+00&quot; N/m²&quot;"/>
    <numFmt numFmtId="182" formatCode="0.00E+00&quot; m&quot;"/>
    <numFmt numFmtId="183" formatCode="0.00E+00&quot; N&quot;"/>
    <numFmt numFmtId="184" formatCode="0.00E+00&quot; Nm&quot;"/>
    <numFmt numFmtId="185" formatCode="0.000&quot; kg&quot;"/>
    <numFmt numFmtId="186" formatCode="0.000&quot; N&quot;"/>
    <numFmt numFmtId="187" formatCode="0&quot; N&quot;"/>
    <numFmt numFmtId="188" formatCode="0&quot; %&quot;"/>
    <numFmt numFmtId="189" formatCode="0&quot; N/mm²&quot;"/>
    <numFmt numFmtId="190" formatCode="0.00&quot; mm&quot;"/>
    <numFmt numFmtId="191" formatCode="0&quot; kg/m²&quot;"/>
    <numFmt numFmtId="192" formatCode="0.0&quot; kg&quot;"/>
    <numFmt numFmtId="193" formatCode="0\°"/>
  </numFmts>
  <fonts count="38" x14ac:knownFonts="1">
    <font>
      <sz val="10"/>
      <name val="Arial"/>
    </font>
    <font>
      <b/>
      <sz val="11"/>
      <name val="MS Sans Serif"/>
      <family val="2"/>
    </font>
    <font>
      <b/>
      <sz val="12"/>
      <name val="MS Sans Serif"/>
      <family val="2"/>
    </font>
    <font>
      <sz val="8.5"/>
      <name val="MS Sans Serif"/>
      <family val="2"/>
    </font>
    <font>
      <sz val="8"/>
      <name val="Arial"/>
      <family val="2"/>
    </font>
    <font>
      <sz val="10"/>
      <name val="MS Sans Serif"/>
      <family val="2"/>
    </font>
    <font>
      <sz val="14"/>
      <name val="MS Sans Serif"/>
      <family val="2"/>
    </font>
    <font>
      <sz val="10"/>
      <color indexed="59"/>
      <name val="MS Sans Serif"/>
      <family val="2"/>
    </font>
    <font>
      <b/>
      <i/>
      <sz val="12"/>
      <name val="MS Sans Serif"/>
      <family val="2"/>
    </font>
    <font>
      <sz val="12"/>
      <color indexed="9"/>
      <name val="MS Sans Serif"/>
      <family val="2"/>
    </font>
    <font>
      <sz val="12"/>
      <color indexed="12"/>
      <name val="MS Sans Serif"/>
      <family val="2"/>
    </font>
    <font>
      <sz val="12"/>
      <name val="MS Sans Serif"/>
      <family val="2"/>
    </font>
    <font>
      <b/>
      <sz val="10"/>
      <name val="MS Sans Serif"/>
      <family val="2"/>
    </font>
    <font>
      <b/>
      <sz val="10"/>
      <color indexed="9"/>
      <name val="MS Sans Serif"/>
      <family val="2"/>
    </font>
    <font>
      <sz val="10"/>
      <color indexed="9"/>
      <name val="MS Sans Serif"/>
      <family val="2"/>
    </font>
    <font>
      <b/>
      <i/>
      <sz val="10"/>
      <name val="MS Sans Serif"/>
      <family val="2"/>
    </font>
    <font>
      <b/>
      <i/>
      <sz val="10"/>
      <name val="Symbol"/>
      <family val="1"/>
      <charset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.5"/>
      <color indexed="9"/>
      <name val="MS Sans Serif"/>
      <family val="2"/>
    </font>
    <font>
      <sz val="10"/>
      <color indexed="10"/>
      <name val="MS Sans Serif"/>
      <family val="2"/>
    </font>
    <font>
      <b/>
      <sz val="10"/>
      <color indexed="10"/>
      <name val="MS Sans Serif"/>
      <family val="2"/>
    </font>
    <font>
      <i/>
      <sz val="10"/>
      <name val="MS Sans Serif"/>
      <family val="2"/>
    </font>
    <font>
      <b/>
      <sz val="10"/>
      <color indexed="57"/>
      <name val="MS Sans Serif"/>
      <family val="2"/>
    </font>
    <font>
      <b/>
      <i/>
      <sz val="10"/>
      <name val="Arial"/>
      <family val="2"/>
    </font>
    <font>
      <b/>
      <sz val="12"/>
      <color indexed="9"/>
      <name val="MS Sans Serif"/>
      <family val="2"/>
    </font>
    <font>
      <b/>
      <sz val="16"/>
      <color indexed="9"/>
      <name val="MS Sans Serif"/>
      <family val="2"/>
    </font>
    <font>
      <sz val="14"/>
      <color indexed="9"/>
      <name val="MS Sans Serif"/>
      <family val="2"/>
    </font>
    <font>
      <b/>
      <sz val="12"/>
      <color indexed="12"/>
      <name val="MS Sans Serif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2"/>
      <color indexed="10"/>
      <name val="MS Sans Serif"/>
      <family val="2"/>
    </font>
    <font>
      <sz val="10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0"/>
        <bgColor indexed="8"/>
      </patternFill>
    </fill>
    <fill>
      <patternFill patternType="solid">
        <fgColor rgb="FF0070C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1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/>
      <right/>
      <top style="medium">
        <color indexed="10"/>
      </top>
      <bottom style="medium">
        <color indexed="10"/>
      </bottom>
      <diagonal/>
    </border>
    <border>
      <left style="medium">
        <color indexed="1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10"/>
      </left>
      <right style="medium">
        <color indexed="64"/>
      </right>
      <top style="medium">
        <color indexed="10"/>
      </top>
      <bottom style="medium">
        <color indexed="10"/>
      </bottom>
      <diagonal/>
    </border>
    <border>
      <left style="medium">
        <color indexed="64"/>
      </left>
      <right/>
      <top style="medium">
        <color indexed="10"/>
      </top>
      <bottom/>
      <diagonal/>
    </border>
    <border>
      <left style="double">
        <color indexed="10"/>
      </left>
      <right/>
      <top style="double">
        <color indexed="10"/>
      </top>
      <bottom/>
      <diagonal/>
    </border>
    <border>
      <left/>
      <right/>
      <top style="double">
        <color indexed="10"/>
      </top>
      <bottom/>
      <diagonal/>
    </border>
    <border>
      <left/>
      <right style="double">
        <color indexed="10"/>
      </right>
      <top style="double">
        <color indexed="10"/>
      </top>
      <bottom/>
      <diagonal/>
    </border>
    <border>
      <left style="double">
        <color indexed="10"/>
      </left>
      <right/>
      <top/>
      <bottom/>
      <diagonal/>
    </border>
    <border>
      <left/>
      <right style="double">
        <color indexed="10"/>
      </right>
      <top/>
      <bottom/>
      <diagonal/>
    </border>
    <border>
      <left style="double">
        <color indexed="10"/>
      </left>
      <right/>
      <top/>
      <bottom style="double">
        <color indexed="10"/>
      </bottom>
      <diagonal/>
    </border>
    <border>
      <left/>
      <right/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1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1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10"/>
      </bottom>
      <diagonal/>
    </border>
  </borders>
  <cellStyleXfs count="1">
    <xf numFmtId="0" fontId="0" fillId="0" borderId="0"/>
  </cellStyleXfs>
  <cellXfs count="376">
    <xf numFmtId="0" fontId="0" fillId="0" borderId="0" xfId="0"/>
    <xf numFmtId="0" fontId="5" fillId="0" borderId="0" xfId="0" applyFont="1" applyAlignment="1" applyProtection="1">
      <alignment horizontal="left"/>
    </xf>
    <xf numFmtId="176" fontId="9" fillId="0" borderId="0" xfId="0" applyNumberFormat="1" applyFont="1" applyFill="1" applyBorder="1" applyAlignment="1" applyProtection="1">
      <alignment horizontal="center"/>
    </xf>
    <xf numFmtId="175" fontId="9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left"/>
    </xf>
    <xf numFmtId="176" fontId="10" fillId="0" borderId="0" xfId="0" applyNumberFormat="1" applyFont="1" applyFill="1" applyBorder="1" applyAlignment="1" applyProtection="1">
      <alignment horizontal="center"/>
    </xf>
    <xf numFmtId="164" fontId="11" fillId="0" borderId="1" xfId="0" applyNumberFormat="1" applyFont="1" applyBorder="1" applyAlignment="1" applyProtection="1">
      <alignment horizontal="center"/>
    </xf>
    <xf numFmtId="180" fontId="14" fillId="0" borderId="0" xfId="0" applyNumberFormat="1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185" fontId="5" fillId="0" borderId="0" xfId="0" applyNumberFormat="1" applyFont="1" applyFill="1" applyBorder="1" applyAlignment="1" applyProtection="1">
      <alignment horizontal="center" wrapText="1"/>
    </xf>
    <xf numFmtId="0" fontId="12" fillId="0" borderId="0" xfId="0" applyFont="1" applyBorder="1" applyAlignment="1" applyProtection="1">
      <alignment horizontal="right"/>
    </xf>
    <xf numFmtId="0" fontId="5" fillId="0" borderId="2" xfId="0" applyFont="1" applyBorder="1" applyAlignment="1" applyProtection="1">
      <alignment horizontal="left"/>
    </xf>
    <xf numFmtId="180" fontId="14" fillId="0" borderId="2" xfId="0" applyNumberFormat="1" applyFont="1" applyFill="1" applyBorder="1" applyAlignment="1" applyProtection="1">
      <alignment horizontal="center" wrapText="1"/>
    </xf>
    <xf numFmtId="176" fontId="10" fillId="0" borderId="2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/>
    <xf numFmtId="0" fontId="5" fillId="0" borderId="0" xfId="0" applyFont="1" applyAlignment="1" applyProtection="1"/>
    <xf numFmtId="0" fontId="1" fillId="0" borderId="0" xfId="0" applyFont="1" applyBorder="1" applyAlignment="1" applyProtection="1">
      <alignment horizontal="center" wrapText="1"/>
    </xf>
    <xf numFmtId="0" fontId="11" fillId="0" borderId="0" xfId="0" applyFont="1" applyBorder="1" applyAlignment="1" applyProtection="1">
      <alignment horizontal="center"/>
    </xf>
    <xf numFmtId="164" fontId="11" fillId="0" borderId="0" xfId="0" applyNumberFormat="1" applyFont="1" applyBorder="1" applyAlignment="1" applyProtection="1">
      <alignment horizontal="center"/>
    </xf>
    <xf numFmtId="187" fontId="5" fillId="0" borderId="0" xfId="0" applyNumberFormat="1" applyFont="1" applyFill="1" applyBorder="1" applyAlignment="1" applyProtection="1">
      <alignment horizontal="center" wrapText="1"/>
    </xf>
    <xf numFmtId="0" fontId="5" fillId="0" borderId="3" xfId="0" applyFont="1" applyBorder="1" applyAlignment="1" applyProtection="1"/>
    <xf numFmtId="0" fontId="5" fillId="0" borderId="4" xfId="0" applyFont="1" applyBorder="1" applyAlignment="1" applyProtection="1"/>
    <xf numFmtId="0" fontId="5" fillId="0" borderId="5" xfId="0" applyFont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189" fontId="14" fillId="0" borderId="0" xfId="0" applyNumberFormat="1" applyFont="1" applyFill="1" applyBorder="1" applyAlignment="1" applyProtection="1">
      <alignment horizontal="center" wrapText="1"/>
    </xf>
    <xf numFmtId="189" fontId="5" fillId="0" borderId="0" xfId="0" applyNumberFormat="1" applyFont="1" applyFill="1" applyBorder="1" applyAlignment="1" applyProtection="1">
      <alignment horizontal="center" wrapText="1"/>
    </xf>
    <xf numFmtId="0" fontId="5" fillId="0" borderId="0" xfId="0" applyFont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1" xfId="0" applyFont="1" applyBorder="1" applyAlignment="1" applyProtection="1"/>
    <xf numFmtId="0" fontId="13" fillId="0" borderId="0" xfId="0" applyFont="1" applyFill="1" applyAlignment="1" applyProtection="1">
      <alignment horizontal="center" wrapText="1"/>
    </xf>
    <xf numFmtId="0" fontId="13" fillId="2" borderId="6" xfId="0" applyFont="1" applyFill="1" applyBorder="1" applyAlignment="1" applyProtection="1">
      <alignment horizontal="left"/>
    </xf>
    <xf numFmtId="0" fontId="7" fillId="2" borderId="7" xfId="0" applyFont="1" applyFill="1" applyBorder="1" applyAlignment="1" applyProtection="1"/>
    <xf numFmtId="0" fontId="7" fillId="2" borderId="8" xfId="0" applyFont="1" applyFill="1" applyBorder="1" applyAlignment="1" applyProtection="1"/>
    <xf numFmtId="0" fontId="5" fillId="2" borderId="0" xfId="0" applyFont="1" applyFill="1" applyAlignment="1" applyProtection="1"/>
    <xf numFmtId="0" fontId="7" fillId="2" borderId="0" xfId="0" applyFont="1" applyFill="1" applyBorder="1" applyAlignment="1" applyProtection="1"/>
    <xf numFmtId="0" fontId="7" fillId="2" borderId="9" xfId="0" applyFont="1" applyFill="1" applyBorder="1" applyAlignment="1" applyProtection="1"/>
    <xf numFmtId="0" fontId="7" fillId="0" borderId="10" xfId="0" applyFont="1" applyFill="1" applyBorder="1" applyAlignment="1" applyProtection="1"/>
    <xf numFmtId="0" fontId="7" fillId="0" borderId="0" xfId="0" applyFont="1" applyFill="1" applyBorder="1" applyAlignment="1" applyProtection="1"/>
    <xf numFmtId="0" fontId="5" fillId="0" borderId="10" xfId="0" applyFont="1" applyFill="1" applyBorder="1" applyAlignment="1" applyProtection="1"/>
    <xf numFmtId="0" fontId="15" fillId="0" borderId="0" xfId="0" applyFont="1" applyFill="1" applyBorder="1" applyAlignment="1" applyProtection="1">
      <alignment horizontal="right"/>
    </xf>
    <xf numFmtId="0" fontId="5" fillId="0" borderId="8" xfId="0" applyFont="1" applyFill="1" applyBorder="1" applyAlignment="1" applyProtection="1"/>
    <xf numFmtId="188" fontId="12" fillId="0" borderId="11" xfId="0" applyNumberFormat="1" applyFont="1" applyFill="1" applyBorder="1" applyAlignment="1" applyProtection="1">
      <alignment horizontal="center"/>
    </xf>
    <xf numFmtId="0" fontId="5" fillId="0" borderId="12" xfId="0" applyFont="1" applyBorder="1" applyAlignment="1" applyProtection="1"/>
    <xf numFmtId="0" fontId="5" fillId="0" borderId="12" xfId="0" applyFont="1" applyFill="1" applyBorder="1" applyAlignment="1" applyProtection="1"/>
    <xf numFmtId="177" fontId="14" fillId="3" borderId="12" xfId="0" applyNumberFormat="1" applyFont="1" applyFill="1" applyBorder="1" applyAlignment="1" applyProtection="1"/>
    <xf numFmtId="0" fontId="5" fillId="0" borderId="13" xfId="0" applyFont="1" applyFill="1" applyBorder="1" applyAlignment="1" applyProtection="1"/>
    <xf numFmtId="0" fontId="15" fillId="0" borderId="1" xfId="0" applyFont="1" applyFill="1" applyBorder="1" applyAlignment="1" applyProtection="1">
      <alignment horizontal="right"/>
    </xf>
    <xf numFmtId="177" fontId="14" fillId="0" borderId="14" xfId="0" applyNumberFormat="1" applyFont="1" applyFill="1" applyBorder="1" applyAlignment="1" applyProtection="1"/>
    <xf numFmtId="188" fontId="12" fillId="0" borderId="5" xfId="0" applyNumberFormat="1" applyFont="1" applyFill="1" applyBorder="1" applyAlignment="1" applyProtection="1">
      <alignment horizontal="center"/>
    </xf>
    <xf numFmtId="0" fontId="5" fillId="2" borderId="15" xfId="0" applyFont="1" applyFill="1" applyBorder="1" applyAlignment="1" applyProtection="1"/>
    <xf numFmtId="0" fontId="5" fillId="2" borderId="9" xfId="0" applyFont="1" applyFill="1" applyBorder="1" applyAlignment="1" applyProtection="1"/>
    <xf numFmtId="0" fontId="5" fillId="0" borderId="16" xfId="0" applyFont="1" applyBorder="1" applyAlignment="1" applyProtection="1">
      <alignment horizontal="center"/>
    </xf>
    <xf numFmtId="0" fontId="5" fillId="0" borderId="0" xfId="0" applyFont="1" applyFill="1" applyAlignment="1" applyProtection="1"/>
    <xf numFmtId="0" fontId="13" fillId="0" borderId="10" xfId="0" applyFont="1" applyFill="1" applyBorder="1" applyAlignment="1" applyProtection="1">
      <alignment horizontal="left"/>
    </xf>
    <xf numFmtId="0" fontId="5" fillId="0" borderId="0" xfId="0" applyFont="1" applyFill="1" applyAlignment="1" applyProtection="1">
      <alignment horizontal="center"/>
    </xf>
    <xf numFmtId="0" fontId="5" fillId="0" borderId="17" xfId="0" applyFont="1" applyBorder="1" applyAlignment="1" applyProtection="1"/>
    <xf numFmtId="0" fontId="5" fillId="0" borderId="11" xfId="0" applyFont="1" applyBorder="1" applyAlignment="1" applyProtection="1">
      <alignment horizontal="center"/>
    </xf>
    <xf numFmtId="0" fontId="5" fillId="0" borderId="10" xfId="0" applyFont="1" applyBorder="1" applyAlignment="1" applyProtection="1"/>
    <xf numFmtId="0" fontId="15" fillId="0" borderId="0" xfId="0" applyFont="1" applyBorder="1" applyAlignment="1" applyProtection="1">
      <alignment horizontal="right"/>
    </xf>
    <xf numFmtId="177" fontId="5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5" fillId="2" borderId="7" xfId="0" applyFont="1" applyFill="1" applyBorder="1" applyAlignment="1" applyProtection="1"/>
    <xf numFmtId="0" fontId="5" fillId="2" borderId="18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center" wrapText="1"/>
    </xf>
    <xf numFmtId="0" fontId="5" fillId="0" borderId="12" xfId="0" applyFont="1" applyFill="1" applyBorder="1" applyAlignment="1" applyProtection="1">
      <alignment horizontal="center"/>
    </xf>
    <xf numFmtId="189" fontId="14" fillId="0" borderId="0" xfId="0" applyNumberFormat="1" applyFont="1" applyFill="1" applyAlignment="1" applyProtection="1">
      <alignment horizontal="center"/>
    </xf>
    <xf numFmtId="183" fontId="14" fillId="0" borderId="0" xfId="0" applyNumberFormat="1" applyFont="1" applyFill="1" applyBorder="1" applyAlignment="1" applyProtection="1">
      <alignment horizontal="center"/>
    </xf>
    <xf numFmtId="184" fontId="14" fillId="0" borderId="0" xfId="0" applyNumberFormat="1" applyFont="1" applyFill="1" applyBorder="1" applyAlignment="1" applyProtection="1">
      <alignment horizontal="center"/>
    </xf>
    <xf numFmtId="182" fontId="5" fillId="0" borderId="0" xfId="0" applyNumberFormat="1" applyFont="1" applyFill="1" applyAlignment="1" applyProtection="1">
      <alignment horizontal="center"/>
    </xf>
    <xf numFmtId="190" fontId="14" fillId="0" borderId="0" xfId="0" applyNumberFormat="1" applyFont="1" applyFill="1" applyBorder="1" applyAlignment="1" applyProtection="1">
      <alignment horizontal="center"/>
    </xf>
    <xf numFmtId="190" fontId="14" fillId="0" borderId="12" xfId="0" applyNumberFormat="1" applyFont="1" applyFill="1" applyBorder="1" applyAlignment="1" applyProtection="1">
      <alignment horizontal="center"/>
    </xf>
    <xf numFmtId="190" fontId="14" fillId="0" borderId="0" xfId="0" applyNumberFormat="1" applyFont="1" applyFill="1" applyAlignment="1" applyProtection="1">
      <alignment horizontal="center"/>
    </xf>
    <xf numFmtId="0" fontId="5" fillId="0" borderId="13" xfId="0" applyFont="1" applyBorder="1" applyAlignment="1" applyProtection="1"/>
    <xf numFmtId="0" fontId="8" fillId="0" borderId="1" xfId="0" applyFont="1" applyBorder="1" applyAlignment="1" applyProtection="1">
      <alignment horizontal="right"/>
    </xf>
    <xf numFmtId="0" fontId="20" fillId="0" borderId="1" xfId="0" applyFont="1" applyBorder="1" applyAlignment="1" applyProtection="1"/>
    <xf numFmtId="0" fontId="5" fillId="0" borderId="1" xfId="0" applyFont="1" applyBorder="1" applyAlignment="1" applyProtection="1">
      <alignment horizontal="center"/>
    </xf>
    <xf numFmtId="0" fontId="5" fillId="0" borderId="14" xfId="0" applyFont="1" applyBorder="1" applyAlignment="1" applyProtection="1"/>
    <xf numFmtId="0" fontId="8" fillId="0" borderId="0" xfId="0" applyFont="1" applyBorder="1" applyAlignment="1" applyProtection="1">
      <alignment horizontal="right"/>
    </xf>
    <xf numFmtId="0" fontId="5" fillId="0" borderId="5" xfId="0" applyFont="1" applyBorder="1" applyAlignment="1" applyProtection="1">
      <alignment horizontal="center"/>
    </xf>
    <xf numFmtId="0" fontId="13" fillId="4" borderId="19" xfId="0" applyFont="1" applyFill="1" applyBorder="1" applyAlignment="1" applyProtection="1">
      <alignment horizontal="left"/>
    </xf>
    <xf numFmtId="0" fontId="7" fillId="4" borderId="20" xfId="0" applyFont="1" applyFill="1" applyBorder="1" applyAlignment="1" applyProtection="1"/>
    <xf numFmtId="0" fontId="7" fillId="4" borderId="21" xfId="0" applyFont="1" applyFill="1" applyBorder="1" applyAlignment="1" applyProtection="1"/>
    <xf numFmtId="0" fontId="5" fillId="4" borderId="20" xfId="0" applyFont="1" applyFill="1" applyBorder="1" applyAlignment="1" applyProtection="1"/>
    <xf numFmtId="0" fontId="5" fillId="4" borderId="22" xfId="0" applyFont="1" applyFill="1" applyBorder="1" applyAlignment="1" applyProtection="1"/>
    <xf numFmtId="0" fontId="13" fillId="0" borderId="4" xfId="0" applyFont="1" applyFill="1" applyBorder="1" applyAlignment="1" applyProtection="1">
      <alignment horizontal="left"/>
    </xf>
    <xf numFmtId="0" fontId="7" fillId="0" borderId="23" xfId="0" applyFont="1" applyFill="1" applyBorder="1" applyAlignment="1" applyProtection="1"/>
    <xf numFmtId="0" fontId="5" fillId="0" borderId="23" xfId="0" applyFont="1" applyFill="1" applyBorder="1" applyAlignment="1" applyProtection="1">
      <alignment horizontal="center"/>
    </xf>
    <xf numFmtId="0" fontId="5" fillId="0" borderId="23" xfId="0" applyFont="1" applyBorder="1" applyAlignment="1" applyProtection="1">
      <alignment horizontal="center"/>
    </xf>
    <xf numFmtId="0" fontId="5" fillId="0" borderId="23" xfId="0" applyFont="1" applyFill="1" applyBorder="1" applyAlignment="1" applyProtection="1"/>
    <xf numFmtId="0" fontId="5" fillId="0" borderId="16" xfId="0" applyFont="1" applyFill="1" applyBorder="1" applyAlignment="1" applyProtection="1"/>
    <xf numFmtId="187" fontId="5" fillId="0" borderId="0" xfId="0" applyNumberFormat="1" applyFont="1" applyBorder="1" applyAlignment="1" applyProtection="1">
      <alignment horizontal="center"/>
    </xf>
    <xf numFmtId="0" fontId="5" fillId="0" borderId="11" xfId="0" applyFont="1" applyBorder="1" applyAlignment="1" applyProtection="1"/>
    <xf numFmtId="0" fontId="12" fillId="0" borderId="17" xfId="0" applyFont="1" applyBorder="1" applyAlignment="1" applyProtection="1">
      <alignment horizontal="right"/>
    </xf>
    <xf numFmtId="187" fontId="5" fillId="0" borderId="0" xfId="0" applyNumberFormat="1" applyFont="1" applyFill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187" fontId="13" fillId="5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right"/>
    </xf>
    <xf numFmtId="187" fontId="23" fillId="0" borderId="16" xfId="0" applyNumberFormat="1" applyFont="1" applyFill="1" applyBorder="1" applyAlignment="1" applyProtection="1">
      <alignment horizontal="center"/>
    </xf>
    <xf numFmtId="186" fontId="14" fillId="0" borderId="0" xfId="0" applyNumberFormat="1" applyFont="1" applyFill="1" applyBorder="1" applyAlignment="1" applyProtection="1">
      <alignment horizontal="center"/>
    </xf>
    <xf numFmtId="0" fontId="5" fillId="0" borderId="2" xfId="0" applyFont="1" applyBorder="1" applyAlignment="1" applyProtection="1">
      <alignment horizontal="right"/>
    </xf>
    <xf numFmtId="187" fontId="23" fillId="0" borderId="5" xfId="0" applyNumberFormat="1" applyFont="1" applyFill="1" applyBorder="1" applyAlignment="1" applyProtection="1">
      <alignment horizontal="center"/>
    </xf>
    <xf numFmtId="0" fontId="15" fillId="0" borderId="2" xfId="0" applyFont="1" applyBorder="1" applyAlignment="1" applyProtection="1">
      <alignment horizontal="right"/>
    </xf>
    <xf numFmtId="0" fontId="5" fillId="0" borderId="2" xfId="0" applyFont="1" applyBorder="1" applyAlignment="1" applyProtection="1"/>
    <xf numFmtId="0" fontId="13" fillId="2" borderId="24" xfId="0" applyFont="1" applyFill="1" applyBorder="1" applyAlignment="1" applyProtection="1">
      <alignment horizontal="left"/>
    </xf>
    <xf numFmtId="0" fontId="14" fillId="2" borderId="25" xfId="0" applyFont="1" applyFill="1" applyBorder="1" applyAlignment="1" applyProtection="1">
      <alignment horizontal="centerContinuous"/>
    </xf>
    <xf numFmtId="0" fontId="14" fillId="2" borderId="7" xfId="0" applyFont="1" applyFill="1" applyBorder="1" applyAlignment="1" applyProtection="1"/>
    <xf numFmtId="0" fontId="13" fillId="2" borderId="7" xfId="0" applyFont="1" applyFill="1" applyBorder="1" applyAlignment="1" applyProtection="1">
      <alignment horizontal="right"/>
    </xf>
    <xf numFmtId="0" fontId="14" fillId="2" borderId="7" xfId="0" applyNumberFormat="1" applyFont="1" applyFill="1" applyBorder="1" applyAlignment="1" applyProtection="1"/>
    <xf numFmtId="0" fontId="19" fillId="2" borderId="7" xfId="0" applyFont="1" applyFill="1" applyBorder="1" applyAlignment="1" applyProtection="1">
      <alignment horizontal="right"/>
    </xf>
    <xf numFmtId="165" fontId="19" fillId="2" borderId="7" xfId="0" applyNumberFormat="1" applyFont="1" applyFill="1" applyBorder="1" applyAlignment="1" applyProtection="1">
      <alignment horizontal="right"/>
    </xf>
    <xf numFmtId="11" fontId="14" fillId="2" borderId="7" xfId="0" applyNumberFormat="1" applyFont="1" applyFill="1" applyBorder="1" applyAlignment="1" applyProtection="1"/>
    <xf numFmtId="0" fontId="14" fillId="2" borderId="8" xfId="0" applyFont="1" applyFill="1" applyBorder="1" applyAlignment="1" applyProtection="1"/>
    <xf numFmtId="0" fontId="5" fillId="0" borderId="1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166" fontId="5" fillId="0" borderId="0" xfId="0" applyNumberFormat="1" applyFont="1" applyFill="1" applyBorder="1" applyAlignment="1" applyProtection="1">
      <alignment horizontal="center"/>
    </xf>
    <xf numFmtId="165" fontId="3" fillId="0" borderId="0" xfId="0" applyNumberFormat="1" applyFont="1" applyFill="1" applyBorder="1" applyAlignment="1" applyProtection="1">
      <alignment horizontal="right"/>
    </xf>
    <xf numFmtId="0" fontId="5" fillId="0" borderId="10" xfId="0" quotePrefix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189" fontId="5" fillId="0" borderId="0" xfId="0" applyNumberFormat="1" applyFont="1" applyFill="1" applyBorder="1" applyAlignment="1" applyProtection="1">
      <alignment horizontal="center"/>
    </xf>
    <xf numFmtId="188" fontId="5" fillId="0" borderId="0" xfId="0" applyNumberFormat="1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/>
    </xf>
    <xf numFmtId="167" fontId="5" fillId="0" borderId="0" xfId="0" applyNumberFormat="1" applyFont="1" applyFill="1" applyBorder="1" applyAlignment="1" applyProtection="1">
      <alignment horizontal="left"/>
    </xf>
    <xf numFmtId="0" fontId="12" fillId="0" borderId="13" xfId="0" applyFont="1" applyFill="1" applyBorder="1" applyAlignment="1" applyProtection="1"/>
    <xf numFmtId="0" fontId="12" fillId="0" borderId="1" xfId="0" quotePrefix="1" applyFont="1" applyFill="1" applyBorder="1" applyAlignment="1" applyProtection="1">
      <alignment horizontal="right"/>
    </xf>
    <xf numFmtId="0" fontId="5" fillId="0" borderId="1" xfId="0" applyFont="1" applyFill="1" applyBorder="1" applyAlignment="1" applyProtection="1">
      <alignment horizontal="right"/>
    </xf>
    <xf numFmtId="171" fontId="5" fillId="0" borderId="1" xfId="0" quotePrefix="1" applyNumberFormat="1" applyFont="1" applyFill="1" applyBorder="1" applyAlignment="1" applyProtection="1">
      <alignment horizontal="right"/>
    </xf>
    <xf numFmtId="11" fontId="5" fillId="0" borderId="1" xfId="0" applyNumberFormat="1" applyFont="1" applyFill="1" applyBorder="1" applyAlignment="1" applyProtection="1">
      <alignment horizontal="center"/>
    </xf>
    <xf numFmtId="168" fontId="12" fillId="0" borderId="1" xfId="0" quotePrefix="1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/>
    <xf numFmtId="0" fontId="5" fillId="0" borderId="14" xfId="0" applyFont="1" applyFill="1" applyBorder="1" applyAlignment="1" applyProtection="1"/>
    <xf numFmtId="0" fontId="12" fillId="0" borderId="9" xfId="0" applyFont="1" applyFill="1" applyBorder="1" applyAlignment="1" applyProtection="1"/>
    <xf numFmtId="0" fontId="12" fillId="0" borderId="0" xfId="0" quotePrefix="1" applyFont="1" applyFill="1" applyBorder="1" applyAlignment="1" applyProtection="1">
      <alignment horizontal="right"/>
    </xf>
    <xf numFmtId="171" fontId="5" fillId="0" borderId="0" xfId="0" quotePrefix="1" applyNumberFormat="1" applyFont="1" applyFill="1" applyBorder="1" applyAlignment="1" applyProtection="1">
      <alignment horizontal="right"/>
    </xf>
    <xf numFmtId="11" fontId="5" fillId="0" borderId="0" xfId="0" applyNumberFormat="1" applyFont="1" applyFill="1" applyBorder="1" applyAlignment="1" applyProtection="1">
      <alignment horizontal="center"/>
    </xf>
    <xf numFmtId="168" fontId="12" fillId="0" borderId="0" xfId="0" quotePrefix="1" applyNumberFormat="1" applyFont="1" applyFill="1" applyBorder="1" applyAlignment="1" applyProtection="1">
      <alignment horizontal="center"/>
    </xf>
    <xf numFmtId="0" fontId="13" fillId="2" borderId="7" xfId="0" applyFont="1" applyFill="1" applyBorder="1" applyAlignment="1" applyProtection="1">
      <alignment horizontal="center"/>
    </xf>
    <xf numFmtId="0" fontId="14" fillId="2" borderId="7" xfId="0" applyNumberFormat="1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wrapText="1"/>
    </xf>
    <xf numFmtId="0" fontId="12" fillId="0" borderId="0" xfId="0" applyFont="1" applyFill="1" applyBorder="1" applyAlignment="1" applyProtection="1">
      <alignment wrapText="1"/>
    </xf>
    <xf numFmtId="11" fontId="5" fillId="0" borderId="0" xfId="0" applyNumberFormat="1" applyFont="1" applyBorder="1" applyAlignment="1" applyProtection="1">
      <alignment horizontal="center"/>
    </xf>
    <xf numFmtId="166" fontId="12" fillId="0" borderId="0" xfId="0" quotePrefix="1" applyNumberFormat="1" applyFont="1" applyFill="1" applyBorder="1" applyAlignment="1" applyProtection="1">
      <alignment horizontal="centerContinuous"/>
    </xf>
    <xf numFmtId="0" fontId="12" fillId="0" borderId="0" xfId="0" applyFont="1" applyFill="1" applyBorder="1" applyAlignment="1" applyProtection="1">
      <alignment horizontal="centerContinuous"/>
    </xf>
    <xf numFmtId="0" fontId="5" fillId="0" borderId="7" xfId="0" applyFont="1" applyFill="1" applyBorder="1" applyAlignment="1" applyProtection="1"/>
    <xf numFmtId="0" fontId="13" fillId="6" borderId="10" xfId="0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Border="1" applyAlignment="1" applyProtection="1">
      <alignment horizontal="right"/>
    </xf>
    <xf numFmtId="181" fontId="5" fillId="0" borderId="0" xfId="0" applyNumberFormat="1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Continuous"/>
    </xf>
    <xf numFmtId="181" fontId="14" fillId="0" borderId="0" xfId="0" applyNumberFormat="1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11" fontId="5" fillId="0" borderId="0" xfId="0" applyNumberFormat="1" applyFont="1" applyFill="1" applyBorder="1" applyAlignment="1" applyProtection="1">
      <alignment horizontal="right"/>
    </xf>
    <xf numFmtId="172" fontId="5" fillId="0" borderId="0" xfId="0" applyNumberFormat="1" applyFont="1" applyFill="1" applyBorder="1" applyAlignment="1" applyProtection="1">
      <alignment horizontal="center"/>
    </xf>
    <xf numFmtId="172" fontId="5" fillId="0" borderId="1" xfId="0" applyNumberFormat="1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/>
    <xf numFmtId="0" fontId="13" fillId="6" borderId="10" xfId="0" applyFont="1" applyFill="1" applyBorder="1" applyAlignment="1" applyProtection="1">
      <alignment horizontal="center"/>
    </xf>
    <xf numFmtId="173" fontId="12" fillId="0" borderId="0" xfId="0" applyNumberFormat="1" applyFont="1" applyFill="1" applyBorder="1" applyAlignment="1" applyProtection="1">
      <alignment horizontal="center"/>
    </xf>
    <xf numFmtId="172" fontId="5" fillId="0" borderId="0" xfId="0" applyNumberFormat="1" applyFont="1" applyFill="1" applyBorder="1" applyAlignment="1" applyProtection="1">
      <alignment horizontal="right"/>
    </xf>
    <xf numFmtId="11" fontId="5" fillId="0" borderId="0" xfId="0" applyNumberFormat="1" applyFont="1" applyFill="1" applyBorder="1" applyAlignment="1" applyProtection="1"/>
    <xf numFmtId="173" fontId="12" fillId="0" borderId="0" xfId="0" applyNumberFormat="1" applyFont="1" applyFill="1" applyBorder="1" applyAlignment="1" applyProtection="1"/>
    <xf numFmtId="174" fontId="5" fillId="0" borderId="0" xfId="0" applyNumberFormat="1" applyFont="1" applyFill="1" applyBorder="1" applyAlignment="1" applyProtection="1">
      <alignment horizontal="center"/>
    </xf>
    <xf numFmtId="172" fontId="5" fillId="0" borderId="0" xfId="0" applyNumberFormat="1" applyFont="1" applyBorder="1" applyAlignment="1" applyProtection="1">
      <alignment horizontal="center"/>
    </xf>
    <xf numFmtId="173" fontId="12" fillId="0" borderId="0" xfId="0" applyNumberFormat="1" applyFont="1" applyBorder="1" applyAlignment="1" applyProtection="1"/>
    <xf numFmtId="174" fontId="5" fillId="0" borderId="0" xfId="0" applyNumberFormat="1" applyFont="1" applyBorder="1" applyAlignment="1" applyProtection="1">
      <alignment horizontal="center"/>
    </xf>
    <xf numFmtId="173" fontId="12" fillId="0" borderId="0" xfId="0" applyNumberFormat="1" applyFont="1" applyBorder="1" applyAlignment="1" applyProtection="1">
      <alignment horizontal="center"/>
    </xf>
    <xf numFmtId="165" fontId="3" fillId="0" borderId="23" xfId="0" applyNumberFormat="1" applyFont="1" applyFill="1" applyBorder="1" applyAlignment="1" applyProtection="1">
      <alignment horizontal="right"/>
    </xf>
    <xf numFmtId="11" fontId="5" fillId="0" borderId="16" xfId="0" applyNumberFormat="1" applyFont="1" applyFill="1" applyBorder="1" applyAlignment="1" applyProtection="1"/>
    <xf numFmtId="0" fontId="5" fillId="0" borderId="11" xfId="0" applyFont="1" applyFill="1" applyBorder="1" applyAlignment="1" applyProtection="1"/>
    <xf numFmtId="0" fontId="12" fillId="0" borderId="21" xfId="0" applyFont="1" applyFill="1" applyBorder="1" applyAlignment="1" applyProtection="1">
      <alignment horizontal="centerContinuous"/>
    </xf>
    <xf numFmtId="0" fontId="5" fillId="0" borderId="4" xfId="0" applyFont="1" applyFill="1" applyBorder="1" applyAlignment="1" applyProtection="1">
      <alignment horizontal="centerContinuous"/>
    </xf>
    <xf numFmtId="0" fontId="12" fillId="0" borderId="23" xfId="0" applyFont="1" applyFill="1" applyBorder="1" applyAlignment="1" applyProtection="1">
      <alignment horizontal="right"/>
    </xf>
    <xf numFmtId="0" fontId="5" fillId="0" borderId="23" xfId="0" applyNumberFormat="1" applyFont="1" applyFill="1" applyBorder="1" applyAlignment="1" applyProtection="1"/>
    <xf numFmtId="0" fontId="3" fillId="0" borderId="23" xfId="0" applyFont="1" applyFill="1" applyBorder="1" applyAlignment="1" applyProtection="1">
      <alignment horizontal="right"/>
    </xf>
    <xf numFmtId="0" fontId="5" fillId="0" borderId="17" xfId="0" applyFont="1" applyFill="1" applyBorder="1" applyAlignment="1" applyProtection="1">
      <alignment horizontal="centerContinuous"/>
    </xf>
    <xf numFmtId="166" fontId="12" fillId="0" borderId="0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/>
    <xf numFmtId="0" fontId="3" fillId="0" borderId="0" xfId="0" applyFont="1" applyFill="1" applyBorder="1" applyAlignment="1" applyProtection="1">
      <alignment horizontal="right"/>
    </xf>
    <xf numFmtId="0" fontId="5" fillId="0" borderId="0" xfId="0" quotePrefix="1" applyFont="1" applyFill="1" applyBorder="1" applyAlignment="1" applyProtection="1">
      <alignment horizontal="right"/>
    </xf>
    <xf numFmtId="168" fontId="5" fillId="0" borderId="17" xfId="0" applyNumberFormat="1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>
      <alignment horizontal="center"/>
    </xf>
    <xf numFmtId="169" fontId="5" fillId="0" borderId="0" xfId="0" applyNumberFormat="1" applyFont="1" applyFill="1" applyBorder="1" applyAlignment="1" applyProtection="1">
      <alignment horizontal="right"/>
    </xf>
    <xf numFmtId="170" fontId="5" fillId="0" borderId="0" xfId="0" applyNumberFormat="1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Continuous"/>
    </xf>
    <xf numFmtId="168" fontId="5" fillId="0" borderId="17" xfId="0" applyNumberFormat="1" applyFont="1" applyFill="1" applyBorder="1" applyAlignment="1" applyProtection="1">
      <alignment horizontal="centerContinuous"/>
    </xf>
    <xf numFmtId="172" fontId="5" fillId="0" borderId="2" xfId="0" applyNumberFormat="1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/>
    <xf numFmtId="0" fontId="12" fillId="0" borderId="17" xfId="0" quotePrefix="1" applyFont="1" applyFill="1" applyBorder="1" applyAlignment="1" applyProtection="1">
      <alignment horizontal="right"/>
    </xf>
    <xf numFmtId="0" fontId="12" fillId="0" borderId="17" xfId="0" applyFont="1" applyFill="1" applyBorder="1" applyAlignment="1" applyProtection="1">
      <alignment wrapText="1"/>
    </xf>
    <xf numFmtId="11" fontId="5" fillId="0" borderId="0" xfId="0" applyNumberFormat="1" applyFont="1" applyBorder="1" applyAlignment="1" applyProtection="1"/>
    <xf numFmtId="11" fontId="5" fillId="0" borderId="23" xfId="0" applyNumberFormat="1" applyFont="1" applyFill="1" applyBorder="1" applyAlignment="1" applyProtection="1">
      <alignment horizontal="right"/>
    </xf>
    <xf numFmtId="0" fontId="5" fillId="0" borderId="17" xfId="0" applyFont="1" applyFill="1" applyBorder="1" applyAlignment="1" applyProtection="1">
      <alignment horizontal="right"/>
    </xf>
    <xf numFmtId="172" fontId="5" fillId="2" borderId="0" xfId="0" applyNumberFormat="1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right"/>
    </xf>
    <xf numFmtId="11" fontId="5" fillId="2" borderId="2" xfId="0" applyNumberFormat="1" applyFont="1" applyFill="1" applyBorder="1" applyAlignment="1" applyProtection="1">
      <alignment horizontal="center"/>
    </xf>
    <xf numFmtId="173" fontId="12" fillId="0" borderId="21" xfId="0" applyNumberFormat="1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right"/>
    </xf>
    <xf numFmtId="172" fontId="5" fillId="0" borderId="23" xfId="0" applyNumberFormat="1" applyFont="1" applyFill="1" applyBorder="1" applyAlignment="1" applyProtection="1">
      <alignment horizontal="center"/>
    </xf>
    <xf numFmtId="0" fontId="5" fillId="0" borderId="23" xfId="0" applyFont="1" applyFill="1" applyBorder="1" applyAlignment="1" applyProtection="1">
      <alignment horizontal="centerContinuous"/>
    </xf>
    <xf numFmtId="0" fontId="12" fillId="0" borderId="23" xfId="0" applyFont="1" applyFill="1" applyBorder="1" applyAlignment="1" applyProtection="1">
      <alignment horizontal="center"/>
    </xf>
    <xf numFmtId="172" fontId="5" fillId="0" borderId="23" xfId="0" applyNumberFormat="1" applyFont="1" applyFill="1" applyBorder="1" applyAlignment="1" applyProtection="1">
      <alignment horizontal="right"/>
    </xf>
    <xf numFmtId="11" fontId="5" fillId="2" borderId="0" xfId="0" applyNumberFormat="1" applyFont="1" applyFill="1" applyBorder="1" applyAlignment="1" applyProtection="1">
      <alignment horizontal="center"/>
    </xf>
    <xf numFmtId="179" fontId="14" fillId="3" borderId="0" xfId="0" applyNumberFormat="1" applyFont="1" applyFill="1" applyBorder="1" applyAlignment="1" applyProtection="1">
      <alignment horizontal="center" wrapText="1"/>
      <protection locked="0"/>
    </xf>
    <xf numFmtId="191" fontId="14" fillId="7" borderId="0" xfId="0" applyNumberFormat="1" applyFont="1" applyFill="1" applyBorder="1" applyAlignment="1" applyProtection="1">
      <alignment horizontal="center" wrapText="1"/>
      <protection locked="0"/>
    </xf>
    <xf numFmtId="189" fontId="14" fillId="3" borderId="0" xfId="0" applyNumberFormat="1" applyFont="1" applyFill="1" applyBorder="1" applyAlignment="1" applyProtection="1">
      <alignment horizontal="center" wrapText="1"/>
      <protection locked="0"/>
    </xf>
    <xf numFmtId="189" fontId="14" fillId="3" borderId="0" xfId="0" applyNumberFormat="1" applyFont="1" applyFill="1" applyBorder="1" applyAlignment="1" applyProtection="1">
      <alignment horizontal="center"/>
      <protection locked="0"/>
    </xf>
    <xf numFmtId="190" fontId="14" fillId="3" borderId="0" xfId="0" applyNumberFormat="1" applyFont="1" applyFill="1" applyBorder="1" applyAlignment="1" applyProtection="1">
      <alignment horizontal="center"/>
      <protection locked="0"/>
    </xf>
    <xf numFmtId="189" fontId="14" fillId="3" borderId="0" xfId="0" applyNumberFormat="1" applyFont="1" applyFill="1" applyAlignment="1" applyProtection="1">
      <alignment horizontal="center"/>
      <protection locked="0"/>
    </xf>
    <xf numFmtId="190" fontId="14" fillId="3" borderId="0" xfId="0" applyNumberFormat="1" applyFont="1" applyFill="1" applyAlignment="1" applyProtection="1">
      <alignment horizontal="center"/>
      <protection locked="0"/>
    </xf>
    <xf numFmtId="190" fontId="14" fillId="3" borderId="12" xfId="0" applyNumberFormat="1" applyFont="1" applyFill="1" applyBorder="1" applyAlignment="1" applyProtection="1">
      <alignment horizontal="center"/>
      <protection locked="0"/>
    </xf>
    <xf numFmtId="189" fontId="14" fillId="3" borderId="19" xfId="0" applyNumberFormat="1" applyFont="1" applyFill="1" applyBorder="1" applyAlignment="1" applyProtection="1">
      <alignment horizontal="center" wrapText="1"/>
      <protection locked="0"/>
    </xf>
    <xf numFmtId="189" fontId="14" fillId="3" borderId="20" xfId="0" applyNumberFormat="1" applyFont="1" applyFill="1" applyBorder="1" applyAlignment="1" applyProtection="1">
      <alignment horizontal="center"/>
      <protection locked="0"/>
    </xf>
    <xf numFmtId="189" fontId="14" fillId="3" borderId="22" xfId="0" applyNumberFormat="1" applyFont="1" applyFill="1" applyBorder="1" applyAlignment="1" applyProtection="1">
      <alignment horizontal="center"/>
      <protection locked="0"/>
    </xf>
    <xf numFmtId="190" fontId="14" fillId="3" borderId="21" xfId="0" applyNumberFormat="1" applyFont="1" applyFill="1" applyBorder="1" applyAlignment="1" applyProtection="1">
      <alignment horizontal="center"/>
      <protection locked="0"/>
    </xf>
    <xf numFmtId="192" fontId="5" fillId="0" borderId="0" xfId="0" applyNumberFormat="1" applyFont="1" applyFill="1" applyBorder="1" applyAlignment="1" applyProtection="1">
      <alignment horizontal="center" wrapText="1"/>
    </xf>
    <xf numFmtId="177" fontId="25" fillId="3" borderId="12" xfId="0" applyNumberFormat="1" applyFont="1" applyFill="1" applyBorder="1" applyAlignment="1" applyProtection="1"/>
    <xf numFmtId="177" fontId="25" fillId="3" borderId="8" xfId="0" applyNumberFormat="1" applyFont="1" applyFill="1" applyBorder="1" applyAlignment="1" applyProtection="1"/>
    <xf numFmtId="177" fontId="25" fillId="7" borderId="7" xfId="0" applyNumberFormat="1" applyFont="1" applyFill="1" applyBorder="1" applyAlignment="1" applyProtection="1">
      <protection locked="0"/>
    </xf>
    <xf numFmtId="177" fontId="25" fillId="7" borderId="0" xfId="0" applyNumberFormat="1" applyFont="1" applyFill="1" applyBorder="1" applyAlignment="1" applyProtection="1">
      <protection locked="0"/>
    </xf>
    <xf numFmtId="178" fontId="25" fillId="7" borderId="0" xfId="0" applyNumberFormat="1" applyFont="1" applyFill="1" applyBorder="1" applyAlignment="1" applyProtection="1">
      <protection locked="0"/>
    </xf>
    <xf numFmtId="0" fontId="25" fillId="7" borderId="1" xfId="0" applyNumberFormat="1" applyFont="1" applyFill="1" applyBorder="1" applyAlignment="1" applyProtection="1">
      <protection locked="0"/>
    </xf>
    <xf numFmtId="188" fontId="12" fillId="0" borderId="1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/>
    <xf numFmtId="0" fontId="5" fillId="2" borderId="0" xfId="0" applyFont="1" applyFill="1" applyBorder="1" applyAlignment="1" applyProtection="1"/>
    <xf numFmtId="0" fontId="5" fillId="2" borderId="14" xfId="0" applyFont="1" applyFill="1" applyBorder="1" applyAlignment="1" applyProtection="1"/>
    <xf numFmtId="188" fontId="12" fillId="0" borderId="5" xfId="0" applyNumberFormat="1" applyFont="1" applyFill="1" applyBorder="1" applyAlignment="1" applyProtection="1">
      <alignment horizontal="center" vertical="center"/>
    </xf>
    <xf numFmtId="0" fontId="13" fillId="2" borderId="26" xfId="0" applyFont="1" applyFill="1" applyBorder="1" applyAlignment="1" applyProtection="1">
      <alignment horizontal="left"/>
    </xf>
    <xf numFmtId="0" fontId="7" fillId="2" borderId="27" xfId="0" applyFont="1" applyFill="1" applyBorder="1" applyAlignment="1" applyProtection="1"/>
    <xf numFmtId="0" fontId="5" fillId="2" borderId="27" xfId="0" applyFont="1" applyFill="1" applyBorder="1" applyAlignment="1" applyProtection="1"/>
    <xf numFmtId="0" fontId="5" fillId="2" borderId="28" xfId="0" applyFont="1" applyFill="1" applyBorder="1" applyAlignment="1" applyProtection="1"/>
    <xf numFmtId="0" fontId="13" fillId="0" borderId="29" xfId="0" applyFont="1" applyFill="1" applyBorder="1" applyAlignment="1" applyProtection="1">
      <alignment horizontal="left"/>
    </xf>
    <xf numFmtId="0" fontId="5" fillId="0" borderId="30" xfId="0" applyFont="1" applyFill="1" applyBorder="1" applyAlignment="1" applyProtection="1">
      <alignment horizontal="center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176" fontId="9" fillId="0" borderId="30" xfId="0" applyNumberFormat="1" applyFont="1" applyFill="1" applyBorder="1" applyAlignment="1" applyProtection="1">
      <alignment horizontal="center"/>
    </xf>
    <xf numFmtId="0" fontId="5" fillId="0" borderId="31" xfId="0" applyFont="1" applyBorder="1" applyAlignment="1" applyProtection="1"/>
    <xf numFmtId="0" fontId="15" fillId="0" borderId="32" xfId="0" applyFont="1" applyBorder="1" applyAlignment="1" applyProtection="1">
      <alignment horizontal="right"/>
    </xf>
    <xf numFmtId="0" fontId="5" fillId="0" borderId="32" xfId="0" applyFont="1" applyBorder="1" applyAlignment="1" applyProtection="1">
      <alignment horizontal="left"/>
    </xf>
    <xf numFmtId="180" fontId="14" fillId="0" borderId="32" xfId="0" applyNumberFormat="1" applyFont="1" applyFill="1" applyBorder="1" applyAlignment="1" applyProtection="1">
      <alignment horizontal="center" wrapText="1"/>
    </xf>
    <xf numFmtId="176" fontId="10" fillId="0" borderId="32" xfId="0" applyNumberFormat="1" applyFont="1" applyFill="1" applyBorder="1" applyAlignment="1" applyProtection="1">
      <alignment horizontal="center"/>
    </xf>
    <xf numFmtId="0" fontId="5" fillId="0" borderId="29" xfId="0" applyFont="1" applyFill="1" applyBorder="1" applyAlignment="1" applyProtection="1"/>
    <xf numFmtId="0" fontId="5" fillId="0" borderId="30" xfId="0" applyFont="1" applyFill="1" applyBorder="1" applyAlignment="1" applyProtection="1"/>
    <xf numFmtId="0" fontId="5" fillId="0" borderId="31" xfId="0" applyFont="1" applyFill="1" applyBorder="1" applyAlignment="1" applyProtection="1"/>
    <xf numFmtId="0" fontId="15" fillId="0" borderId="32" xfId="0" applyFont="1" applyFill="1" applyBorder="1" applyAlignment="1" applyProtection="1">
      <alignment horizontal="right"/>
    </xf>
    <xf numFmtId="0" fontId="5" fillId="0" borderId="32" xfId="0" applyFont="1" applyBorder="1" applyAlignment="1" applyProtection="1"/>
    <xf numFmtId="0" fontId="5" fillId="0" borderId="30" xfId="0" applyFont="1" applyBorder="1" applyAlignment="1" applyProtection="1">
      <alignment horizontal="center"/>
    </xf>
    <xf numFmtId="0" fontId="12" fillId="0" borderId="29" xfId="0" applyFont="1" applyBorder="1" applyAlignment="1" applyProtection="1">
      <alignment horizontal="right"/>
    </xf>
    <xf numFmtId="0" fontId="5" fillId="0" borderId="32" xfId="0" applyFont="1" applyBorder="1" applyAlignment="1" applyProtection="1">
      <alignment horizontal="center"/>
    </xf>
    <xf numFmtId="175" fontId="9" fillId="0" borderId="30" xfId="0" applyNumberFormat="1" applyFont="1" applyFill="1" applyBorder="1" applyAlignment="1" applyProtection="1">
      <alignment horizontal="center"/>
    </xf>
    <xf numFmtId="187" fontId="23" fillId="0" borderId="30" xfId="0" applyNumberFormat="1" applyFont="1" applyFill="1" applyBorder="1" applyAlignment="1" applyProtection="1">
      <alignment horizontal="center"/>
    </xf>
    <xf numFmtId="0" fontId="5" fillId="0" borderId="33" xfId="0" applyFont="1" applyBorder="1" applyAlignment="1" applyProtection="1">
      <alignment horizontal="center"/>
    </xf>
    <xf numFmtId="0" fontId="13" fillId="2" borderId="10" xfId="0" applyFont="1" applyFill="1" applyBorder="1" applyAlignment="1" applyProtection="1">
      <alignment horizontal="left"/>
    </xf>
    <xf numFmtId="0" fontId="7" fillId="2" borderId="12" xfId="0" applyFont="1" applyFill="1" applyBorder="1" applyAlignment="1" applyProtection="1"/>
    <xf numFmtId="0" fontId="5" fillId="2" borderId="13" xfId="0" applyFont="1" applyFill="1" applyBorder="1" applyAlignment="1" applyProtection="1"/>
    <xf numFmtId="0" fontId="27" fillId="0" borderId="0" xfId="0" applyFont="1" applyFill="1" applyBorder="1" applyAlignment="1" applyProtection="1">
      <alignment horizontal="centerContinuous" vertical="center"/>
    </xf>
    <xf numFmtId="0" fontId="13" fillId="0" borderId="0" xfId="0" applyFont="1" applyFill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191" fontId="25" fillId="7" borderId="0" xfId="0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 applyProtection="1">
      <alignment horizontal="centerContinuous"/>
    </xf>
    <xf numFmtId="176" fontId="9" fillId="0" borderId="12" xfId="0" applyNumberFormat="1" applyFont="1" applyFill="1" applyBorder="1" applyAlignment="1" applyProtection="1">
      <alignment horizontal="center"/>
    </xf>
    <xf numFmtId="0" fontId="15" fillId="0" borderId="1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191" fontId="25" fillId="7" borderId="1" xfId="0" applyNumberFormat="1" applyFont="1" applyFill="1" applyBorder="1" applyAlignment="1" applyProtection="1">
      <alignment horizontal="center" wrapText="1"/>
      <protection locked="0"/>
    </xf>
    <xf numFmtId="176" fontId="10" fillId="0" borderId="1" xfId="0" applyNumberFormat="1" applyFont="1" applyFill="1" applyBorder="1" applyAlignment="1" applyProtection="1">
      <alignment horizontal="center"/>
    </xf>
    <xf numFmtId="0" fontId="5" fillId="0" borderId="14" xfId="0" applyNumberFormat="1" applyFont="1" applyFill="1" applyBorder="1" applyAlignment="1" applyProtection="1">
      <alignment horizontal="center"/>
    </xf>
    <xf numFmtId="191" fontId="14" fillId="7" borderId="1" xfId="0" applyNumberFormat="1" applyFont="1" applyFill="1" applyBorder="1" applyAlignment="1" applyProtection="1">
      <alignment horizontal="center" wrapText="1"/>
      <protection locked="0"/>
    </xf>
    <xf numFmtId="0" fontId="2" fillId="0" borderId="32" xfId="0" applyFont="1" applyBorder="1" applyAlignment="1" applyProtection="1">
      <alignment horizontal="center"/>
    </xf>
    <xf numFmtId="0" fontId="5" fillId="0" borderId="33" xfId="0" applyNumberFormat="1" applyFont="1" applyFill="1" applyBorder="1" applyAlignment="1" applyProtection="1">
      <alignment horizontal="center"/>
      <protection hidden="1"/>
    </xf>
    <xf numFmtId="0" fontId="30" fillId="0" borderId="0" xfId="0" applyFont="1" applyAlignment="1">
      <alignment horizontal="center"/>
    </xf>
    <xf numFmtId="0" fontId="30" fillId="0" borderId="0" xfId="0" applyFont="1"/>
    <xf numFmtId="0" fontId="0" fillId="0" borderId="0" xfId="0" applyAlignment="1">
      <alignment horizontal="center"/>
    </xf>
    <xf numFmtId="0" fontId="0" fillId="0" borderId="0" xfId="0" applyFill="1" applyAlignment="1">
      <alignment wrapText="1"/>
    </xf>
    <xf numFmtId="0" fontId="31" fillId="0" borderId="34" xfId="0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center"/>
    </xf>
    <xf numFmtId="0" fontId="31" fillId="0" borderId="36" xfId="0" applyFont="1" applyFill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5" fillId="0" borderId="38" xfId="0" applyFont="1" applyBorder="1" applyAlignment="1" applyProtection="1"/>
    <xf numFmtId="0" fontId="5" fillId="0" borderId="39" xfId="0" applyFont="1" applyBorder="1" applyAlignment="1" applyProtection="1"/>
    <xf numFmtId="0" fontId="30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/>
    </xf>
    <xf numFmtId="0" fontId="13" fillId="0" borderId="0" xfId="0" applyFont="1" applyFill="1" applyBorder="1" applyAlignment="1" applyProtection="1">
      <alignment horizontal="center" wrapText="1"/>
    </xf>
    <xf numFmtId="0" fontId="33" fillId="0" borderId="0" xfId="0" applyFont="1" applyBorder="1" applyAlignment="1">
      <alignment horizontal="center" vertical="center"/>
    </xf>
    <xf numFmtId="0" fontId="30" fillId="0" borderId="0" xfId="0" applyFont="1" applyBorder="1"/>
    <xf numFmtId="0" fontId="30" fillId="0" borderId="37" xfId="0" applyFont="1" applyBorder="1" applyAlignment="1">
      <alignment horizontal="center"/>
    </xf>
    <xf numFmtId="0" fontId="33" fillId="0" borderId="38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13" fillId="0" borderId="41" xfId="0" applyFont="1" applyFill="1" applyBorder="1" applyAlignment="1" applyProtection="1">
      <alignment horizontal="left"/>
    </xf>
    <xf numFmtId="0" fontId="5" fillId="0" borderId="40" xfId="0" applyFont="1" applyFill="1" applyBorder="1" applyAlignment="1" applyProtection="1">
      <alignment horizontal="center"/>
    </xf>
    <xf numFmtId="0" fontId="7" fillId="0" borderId="42" xfId="0" applyFont="1" applyFill="1" applyBorder="1" applyAlignment="1" applyProtection="1"/>
    <xf numFmtId="177" fontId="14" fillId="0" borderId="0" xfId="0" applyNumberFormat="1" applyFont="1" applyFill="1" applyBorder="1" applyAlignment="1" applyProtection="1">
      <alignment horizontal="center"/>
    </xf>
    <xf numFmtId="174" fontId="13" fillId="3" borderId="0" xfId="0" applyNumberFormat="1" applyFont="1" applyFill="1" applyBorder="1" applyAlignment="1" applyProtection="1">
      <alignment horizontal="center"/>
    </xf>
    <xf numFmtId="174" fontId="13" fillId="3" borderId="30" xfId="0" applyNumberFormat="1" applyFont="1" applyFill="1" applyBorder="1" applyAlignment="1" applyProtection="1">
      <alignment horizontal="center"/>
    </xf>
    <xf numFmtId="177" fontId="14" fillId="0" borderId="33" xfId="0" applyNumberFormat="1" applyFont="1" applyFill="1" applyBorder="1" applyAlignment="1" applyProtection="1">
      <alignment horizontal="center"/>
    </xf>
    <xf numFmtId="174" fontId="32" fillId="3" borderId="37" xfId="0" applyNumberFormat="1" applyFont="1" applyFill="1" applyBorder="1" applyAlignment="1" applyProtection="1">
      <alignment horizontal="center" vertical="center"/>
    </xf>
    <xf numFmtId="174" fontId="32" fillId="3" borderId="37" xfId="0" applyNumberFormat="1" applyFont="1" applyFill="1" applyBorder="1" applyAlignment="1">
      <alignment horizontal="center" vertical="center"/>
    </xf>
    <xf numFmtId="179" fontId="14" fillId="3" borderId="0" xfId="0" applyNumberFormat="1" applyFont="1" applyFill="1" applyBorder="1" applyAlignment="1" applyProtection="1">
      <alignment horizontal="center" wrapText="1"/>
    </xf>
    <xf numFmtId="174" fontId="25" fillId="9" borderId="0" xfId="0" applyNumberFormat="1" applyFont="1" applyFill="1" applyBorder="1" applyAlignment="1" applyProtection="1">
      <alignment horizontal="center"/>
      <protection locked="0"/>
    </xf>
    <xf numFmtId="178" fontId="25" fillId="9" borderId="0" xfId="0" applyNumberFormat="1" applyFont="1" applyFill="1" applyBorder="1" applyAlignment="1" applyProtection="1">
      <alignment horizontal="center"/>
      <protection locked="0"/>
    </xf>
    <xf numFmtId="0" fontId="25" fillId="9" borderId="32" xfId="0" applyNumberFormat="1" applyFont="1" applyFill="1" applyBorder="1" applyAlignment="1" applyProtection="1">
      <alignment horizontal="center"/>
      <protection locked="0"/>
    </xf>
    <xf numFmtId="174" fontId="25" fillId="9" borderId="30" xfId="0" applyNumberFormat="1" applyFont="1" applyFill="1" applyBorder="1" applyAlignment="1" applyProtection="1">
      <alignment horizontal="center"/>
      <protection locked="0"/>
    </xf>
    <xf numFmtId="191" fontId="25" fillId="9" borderId="0" xfId="0" applyNumberFormat="1" applyFont="1" applyFill="1" applyBorder="1" applyAlignment="1" applyProtection="1">
      <alignment horizontal="center" wrapText="1"/>
      <protection locked="0"/>
    </xf>
    <xf numFmtId="191" fontId="25" fillId="9" borderId="32" xfId="0" applyNumberFormat="1" applyFont="1" applyFill="1" applyBorder="1" applyAlignment="1" applyProtection="1">
      <alignment horizontal="center" wrapText="1"/>
      <protection locked="0"/>
    </xf>
    <xf numFmtId="0" fontId="5" fillId="0" borderId="43" xfId="0" applyFont="1" applyFill="1" applyBorder="1" applyAlignment="1" applyProtection="1">
      <alignment horizontal="center"/>
      <protection hidden="1"/>
    </xf>
    <xf numFmtId="193" fontId="32" fillId="9" borderId="37" xfId="0" applyNumberFormat="1" applyFont="1" applyFill="1" applyBorder="1" applyAlignment="1" applyProtection="1">
      <alignment horizontal="center" vertical="center"/>
      <protection locked="0"/>
    </xf>
    <xf numFmtId="174" fontId="32" fillId="9" borderId="37" xfId="0" applyNumberFormat="1" applyFont="1" applyFill="1" applyBorder="1" applyAlignment="1" applyProtection="1">
      <alignment horizontal="center" vertical="center"/>
      <protection locked="0"/>
    </xf>
    <xf numFmtId="0" fontId="30" fillId="0" borderId="40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/>
    </xf>
    <xf numFmtId="14" fontId="5" fillId="0" borderId="0" xfId="0" applyNumberFormat="1" applyFont="1" applyAlignment="1" applyProtection="1">
      <alignment horizontal="left" vertical="center"/>
    </xf>
    <xf numFmtId="0" fontId="0" fillId="0" borderId="0" xfId="0" applyAlignment="1">
      <alignment vertical="center"/>
    </xf>
    <xf numFmtId="0" fontId="2" fillId="0" borderId="44" xfId="0" applyFont="1" applyFill="1" applyBorder="1" applyAlignment="1" applyProtection="1">
      <alignment horizontal="center" vertical="center"/>
    </xf>
    <xf numFmtId="0" fontId="2" fillId="0" borderId="45" xfId="0" applyFont="1" applyFill="1" applyBorder="1" applyAlignment="1" applyProtection="1">
      <alignment horizontal="center" vertical="center"/>
    </xf>
    <xf numFmtId="0" fontId="2" fillId="0" borderId="46" xfId="0" applyFont="1" applyFill="1" applyBorder="1" applyAlignment="1" applyProtection="1">
      <alignment horizontal="center" vertical="center"/>
    </xf>
    <xf numFmtId="0" fontId="2" fillId="0" borderId="47" xfId="0" applyFont="1" applyFill="1" applyBorder="1" applyAlignment="1" applyProtection="1">
      <alignment horizontal="center" vertical="center"/>
    </xf>
    <xf numFmtId="0" fontId="2" fillId="0" borderId="40" xfId="0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horizontal="right"/>
    </xf>
    <xf numFmtId="0" fontId="0" fillId="0" borderId="0" xfId="0" applyBorder="1" applyAlignment="1"/>
    <xf numFmtId="0" fontId="12" fillId="0" borderId="3" xfId="0" applyFont="1" applyFill="1" applyBorder="1" applyAlignment="1" applyProtection="1">
      <alignment horizontal="right"/>
    </xf>
    <xf numFmtId="0" fontId="0" fillId="0" borderId="2" xfId="0" applyBorder="1" applyAlignment="1"/>
    <xf numFmtId="0" fontId="26" fillId="8" borderId="0" xfId="0" applyFont="1" applyFill="1" applyBorder="1" applyAlignment="1" applyProtection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13" fillId="4" borderId="4" xfId="0" applyFont="1" applyFill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3" fillId="7" borderId="0" xfId="0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13" fillId="3" borderId="0" xfId="0" applyFont="1" applyFill="1" applyAlignment="1" applyProtection="1">
      <alignment horizontal="center" vertical="center" wrapText="1"/>
    </xf>
    <xf numFmtId="0" fontId="0" fillId="0" borderId="0" xfId="0" applyAlignment="1"/>
    <xf numFmtId="0" fontId="13" fillId="3" borderId="0" xfId="0" applyFont="1" applyFill="1" applyAlignment="1" applyProtection="1">
      <alignment horizontal="center" wrapText="1"/>
    </xf>
    <xf numFmtId="0" fontId="0" fillId="0" borderId="16" xfId="0" applyBorder="1" applyAlignment="1"/>
    <xf numFmtId="0" fontId="15" fillId="0" borderId="17" xfId="0" applyFont="1" applyBorder="1" applyAlignment="1" applyProtection="1">
      <alignment horizontal="right"/>
    </xf>
    <xf numFmtId="0" fontId="15" fillId="0" borderId="10" xfId="0" applyFont="1" applyBorder="1" applyAlignment="1" applyProtection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15" fillId="0" borderId="13" xfId="0" applyFont="1" applyBorder="1" applyAlignment="1" applyProtection="1">
      <alignment horizontal="right"/>
    </xf>
    <xf numFmtId="0" fontId="0" fillId="0" borderId="1" xfId="0" applyBorder="1" applyAlignment="1">
      <alignment horizontal="right"/>
    </xf>
    <xf numFmtId="0" fontId="15" fillId="0" borderId="0" xfId="0" applyFont="1" applyAlignment="1" applyProtection="1">
      <alignment horizontal="right"/>
    </xf>
    <xf numFmtId="0" fontId="24" fillId="0" borderId="0" xfId="0" applyFont="1" applyAlignment="1">
      <alignment horizontal="right"/>
    </xf>
    <xf numFmtId="0" fontId="13" fillId="9" borderId="0" xfId="0" applyFont="1" applyFill="1" applyAlignment="1" applyProtection="1">
      <alignment horizontal="center" vertical="center" wrapText="1"/>
    </xf>
    <xf numFmtId="0" fontId="0" fillId="9" borderId="0" xfId="0" applyFill="1"/>
    <xf numFmtId="0" fontId="12" fillId="0" borderId="17" xfId="0" applyFont="1" applyFill="1" applyBorder="1" applyAlignment="1" applyProtection="1">
      <alignment horizontal="left" vertical="center"/>
    </xf>
    <xf numFmtId="0" fontId="0" fillId="0" borderId="0" xfId="0" applyBorder="1" applyAlignment="1">
      <alignment horizontal="left"/>
    </xf>
    <xf numFmtId="0" fontId="15" fillId="0" borderId="0" xfId="0" applyFont="1" applyBorder="1" applyAlignment="1" applyProtection="1">
      <alignment horizontal="right"/>
    </xf>
    <xf numFmtId="0" fontId="24" fillId="0" borderId="0" xfId="0" applyFont="1" applyBorder="1" applyAlignment="1">
      <alignment horizontal="right"/>
    </xf>
    <xf numFmtId="0" fontId="13" fillId="2" borderId="26" xfId="0" applyFont="1" applyFill="1" applyBorder="1" applyAlignment="1" applyProtection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2" fillId="0" borderId="3" xfId="0" applyFont="1" applyFill="1" applyBorder="1" applyAlignment="1" applyProtection="1">
      <alignment horizontal="left" vertical="center"/>
    </xf>
    <xf numFmtId="0" fontId="0" fillId="0" borderId="2" xfId="0" applyBorder="1" applyAlignment="1">
      <alignment horizontal="left"/>
    </xf>
    <xf numFmtId="0" fontId="15" fillId="0" borderId="29" xfId="0" applyFont="1" applyBorder="1" applyAlignment="1" applyProtection="1">
      <alignment horizontal="right"/>
    </xf>
    <xf numFmtId="0" fontId="0" fillId="0" borderId="39" xfId="0" applyBorder="1" applyAlignment="1">
      <alignment horizontal="right"/>
    </xf>
    <xf numFmtId="0" fontId="15" fillId="0" borderId="31" xfId="0" applyFont="1" applyBorder="1" applyAlignment="1" applyProtection="1">
      <alignment horizontal="right"/>
    </xf>
    <xf numFmtId="0" fontId="0" fillId="0" borderId="48" xfId="0" applyBorder="1" applyAlignment="1">
      <alignment horizontal="right"/>
    </xf>
    <xf numFmtId="0" fontId="36" fillId="0" borderId="44" xfId="0" applyFont="1" applyBorder="1" applyAlignment="1" applyProtection="1">
      <alignment horizontal="center" vertical="top"/>
    </xf>
    <xf numFmtId="0" fontId="36" fillId="0" borderId="45" xfId="0" applyFont="1" applyBorder="1" applyAlignment="1" applyProtection="1">
      <alignment horizontal="center" vertical="top"/>
    </xf>
    <xf numFmtId="0" fontId="36" fillId="0" borderId="46" xfId="0" applyFont="1" applyBorder="1" applyAlignment="1" applyProtection="1">
      <alignment horizontal="center" vertical="top"/>
    </xf>
    <xf numFmtId="0" fontId="0" fillId="9" borderId="0" xfId="0" applyFill="1" applyAlignment="1">
      <alignment horizontal="center" vertical="center"/>
    </xf>
    <xf numFmtId="0" fontId="31" fillId="2" borderId="34" xfId="0" applyFont="1" applyFill="1" applyBorder="1" applyAlignment="1">
      <alignment horizontal="center" vertical="center"/>
    </xf>
    <xf numFmtId="0" fontId="31" fillId="2" borderId="35" xfId="0" applyFont="1" applyFill="1" applyBorder="1" applyAlignment="1">
      <alignment horizontal="center" vertical="center"/>
    </xf>
    <xf numFmtId="0" fontId="31" fillId="2" borderId="36" xfId="0" applyFont="1" applyFill="1" applyBorder="1" applyAlignment="1">
      <alignment horizontal="center" vertical="center"/>
    </xf>
    <xf numFmtId="0" fontId="34" fillId="0" borderId="34" xfId="0" applyFont="1" applyFill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14" fontId="37" fillId="0" borderId="0" xfId="0" applyNumberFormat="1" applyFont="1" applyAlignment="1">
      <alignment horizontal="left" vertical="center"/>
    </xf>
  </cellXfs>
  <cellStyles count="1">
    <cellStyle name="Normal" xfId="0" builtinId="0"/>
  </cellStyles>
  <dxfs count="6">
    <dxf>
      <font>
        <b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16</xdr:row>
      <xdr:rowOff>297180</xdr:rowOff>
    </xdr:from>
    <xdr:to>
      <xdr:col>12</xdr:col>
      <xdr:colOff>312420</xdr:colOff>
      <xdr:row>96</xdr:row>
      <xdr:rowOff>45720</xdr:rowOff>
    </xdr:to>
    <xdr:pic>
      <xdr:nvPicPr>
        <xdr:cNvPr id="10310" name="Image 1">
          <a:extLst>
            <a:ext uri="{FF2B5EF4-FFF2-40B4-BE49-F238E27FC236}">
              <a16:creationId xmlns:a16="http://schemas.microsoft.com/office/drawing/2014/main" id="{00000000-0008-0000-0200-000046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497580"/>
          <a:ext cx="10066020" cy="651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14</xdr:row>
      <xdr:rowOff>220980</xdr:rowOff>
    </xdr:from>
    <xdr:to>
      <xdr:col>16</xdr:col>
      <xdr:colOff>259080</xdr:colOff>
      <xdr:row>47</xdr:row>
      <xdr:rowOff>106680</xdr:rowOff>
    </xdr:to>
    <xdr:pic>
      <xdr:nvPicPr>
        <xdr:cNvPr id="14353" name="Image 1">
          <a:extLst>
            <a:ext uri="{FF2B5EF4-FFF2-40B4-BE49-F238E27FC236}">
              <a16:creationId xmlns:a16="http://schemas.microsoft.com/office/drawing/2014/main" id="{00000000-0008-0000-0300-000011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255520"/>
          <a:ext cx="13030200" cy="742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202"/>
  <sheetViews>
    <sheetView workbookViewId="0">
      <selection activeCell="F31" sqref="F31"/>
    </sheetView>
  </sheetViews>
  <sheetFormatPr baseColWidth="10" defaultColWidth="11.44140625" defaultRowHeight="12.6" x14ac:dyDescent="0.25"/>
  <cols>
    <col min="1" max="1" width="3.5546875" style="20" customWidth="1"/>
    <col min="2" max="13" width="13.33203125" style="20" customWidth="1"/>
    <col min="14" max="14" width="12.6640625" style="20" customWidth="1"/>
    <col min="15" max="15" width="8.109375" style="20" customWidth="1"/>
    <col min="16" max="16" width="8.109375" style="20" hidden="1" customWidth="1"/>
    <col min="17" max="17" width="7" style="20" hidden="1" customWidth="1"/>
    <col min="18" max="16384" width="11.44140625" style="20"/>
  </cols>
  <sheetData>
    <row r="1" spans="1:17" ht="5.0999999999999996" customHeight="1" x14ac:dyDescent="0.25">
      <c r="P1" s="31"/>
      <c r="Q1" s="1"/>
    </row>
    <row r="2" spans="1:17" ht="27" customHeight="1" x14ac:dyDescent="0.35">
      <c r="B2" s="331" t="s">
        <v>75</v>
      </c>
      <c r="C2" s="332"/>
      <c r="D2" s="332"/>
      <c r="E2" s="332"/>
      <c r="F2" s="332"/>
      <c r="G2" s="332"/>
      <c r="H2" s="266"/>
      <c r="I2" s="336" t="s">
        <v>80</v>
      </c>
      <c r="J2" s="337"/>
      <c r="K2" s="337"/>
      <c r="L2" s="263"/>
      <c r="P2" s="31"/>
      <c r="Q2" s="1"/>
    </row>
    <row r="3" spans="1:17" ht="12.75" customHeight="1" x14ac:dyDescent="0.25">
      <c r="I3" s="338" t="s">
        <v>81</v>
      </c>
      <c r="J3" s="337"/>
      <c r="K3" s="337"/>
      <c r="L3" s="34"/>
      <c r="P3" s="31"/>
      <c r="Q3" s="1"/>
    </row>
    <row r="4" spans="1:17" ht="12.75" customHeight="1" x14ac:dyDescent="0.25">
      <c r="E4" s="32"/>
      <c r="F4" s="32"/>
      <c r="G4" s="32"/>
      <c r="I4" s="337"/>
      <c r="J4" s="337"/>
      <c r="K4" s="337"/>
      <c r="L4" s="34"/>
      <c r="P4" s="31"/>
      <c r="Q4" s="1"/>
    </row>
    <row r="5" spans="1:17" ht="3" customHeight="1" thickBot="1" x14ac:dyDescent="0.3">
      <c r="E5" s="33"/>
      <c r="F5" s="33"/>
      <c r="G5" s="33"/>
      <c r="J5" s="34"/>
      <c r="K5" s="34"/>
      <c r="L5" s="34"/>
      <c r="P5" s="31"/>
      <c r="Q5" s="1"/>
    </row>
    <row r="6" spans="1:17" ht="12.75" customHeight="1" thickBot="1" x14ac:dyDescent="0.3">
      <c r="B6" s="35" t="s">
        <v>5</v>
      </c>
      <c r="C6" s="36"/>
      <c r="D6" s="37"/>
      <c r="E6" s="38"/>
      <c r="F6" s="39"/>
      <c r="G6" s="40"/>
      <c r="H6" s="41"/>
      <c r="I6" s="333" t="s">
        <v>41</v>
      </c>
      <c r="J6" s="334"/>
      <c r="K6" s="335"/>
      <c r="L6" s="42"/>
      <c r="M6" s="42"/>
      <c r="N6" s="42"/>
      <c r="P6" s="31"/>
      <c r="Q6" s="1"/>
    </row>
    <row r="7" spans="1:17" ht="27" customHeight="1" x14ac:dyDescent="0.3">
      <c r="B7" s="43"/>
      <c r="C7" s="44" t="s">
        <v>2</v>
      </c>
      <c r="D7" s="225">
        <v>4.5289999999999999</v>
      </c>
      <c r="F7" s="19"/>
      <c r="G7" s="45"/>
      <c r="H7" s="19"/>
      <c r="I7" s="327" t="s">
        <v>84</v>
      </c>
      <c r="J7" s="328"/>
      <c r="K7" s="46">
        <f>G46</f>
        <v>3.5735995511480394</v>
      </c>
      <c r="L7" s="19"/>
      <c r="M7" s="19"/>
      <c r="N7" s="19"/>
      <c r="P7" s="31"/>
      <c r="Q7" s="1"/>
    </row>
    <row r="8" spans="1:17" ht="27" customHeight="1" x14ac:dyDescent="0.3">
      <c r="A8" s="47"/>
      <c r="B8" s="43"/>
      <c r="C8" s="44" t="s">
        <v>3</v>
      </c>
      <c r="D8" s="226">
        <v>0.7</v>
      </c>
      <c r="F8" s="19"/>
      <c r="G8" s="48"/>
      <c r="H8" s="19"/>
      <c r="I8" s="327" t="s">
        <v>85</v>
      </c>
      <c r="J8" s="328"/>
      <c r="K8" s="46">
        <f>G51</f>
        <v>4.6208627529428119</v>
      </c>
      <c r="L8" s="19"/>
      <c r="M8" s="19"/>
      <c r="N8" s="19"/>
      <c r="P8" s="31"/>
      <c r="Q8" s="1"/>
    </row>
    <row r="9" spans="1:17" ht="27" customHeight="1" x14ac:dyDescent="0.3">
      <c r="A9" s="47"/>
      <c r="B9" s="43"/>
      <c r="C9" s="44" t="s">
        <v>4</v>
      </c>
      <c r="D9" s="227">
        <v>30</v>
      </c>
      <c r="F9" s="19"/>
      <c r="G9" s="48"/>
      <c r="H9" s="19"/>
      <c r="I9" s="327" t="s">
        <v>87</v>
      </c>
      <c r="J9" s="328"/>
      <c r="K9" s="46">
        <f>MAX(G57:G61)</f>
        <v>1.489033144982983</v>
      </c>
      <c r="L9" s="19"/>
      <c r="M9" s="19"/>
      <c r="N9" s="19"/>
      <c r="P9" s="31"/>
      <c r="Q9" s="1"/>
    </row>
    <row r="10" spans="1:17" ht="27" customHeight="1" x14ac:dyDescent="0.3">
      <c r="A10" s="47"/>
      <c r="B10" s="43"/>
      <c r="C10" s="44" t="s">
        <v>45</v>
      </c>
      <c r="D10" s="226">
        <f>G10</f>
        <v>2.2644999999999995</v>
      </c>
      <c r="E10" s="32"/>
      <c r="F10" s="44" t="s">
        <v>46</v>
      </c>
      <c r="G10" s="49">
        <f>D7*SIN(RADIANS(D9))</f>
        <v>2.2644999999999995</v>
      </c>
      <c r="H10" s="19"/>
      <c r="I10" s="327" t="s">
        <v>86</v>
      </c>
      <c r="J10" s="328"/>
      <c r="K10" s="46">
        <f>MAX(G65:G69)</f>
        <v>35.678497430234032</v>
      </c>
      <c r="L10" s="19"/>
      <c r="M10" s="19"/>
      <c r="N10" s="19"/>
      <c r="P10" s="31"/>
      <c r="Q10" s="1"/>
    </row>
    <row r="11" spans="1:17" ht="27" customHeight="1" thickBot="1" x14ac:dyDescent="0.35">
      <c r="A11" s="32"/>
      <c r="B11" s="50"/>
      <c r="C11" s="51" t="s">
        <v>51</v>
      </c>
      <c r="D11" s="228">
        <v>1</v>
      </c>
      <c r="E11" s="33"/>
      <c r="F11" s="51"/>
      <c r="G11" s="52"/>
      <c r="H11" s="19"/>
      <c r="I11" s="329" t="s">
        <v>83</v>
      </c>
      <c r="J11" s="330"/>
      <c r="K11" s="53">
        <f>MAX(G80:G89)</f>
        <v>80.462759382999266</v>
      </c>
      <c r="L11" s="19"/>
      <c r="M11" s="19"/>
      <c r="N11" s="19"/>
      <c r="P11" s="31"/>
      <c r="Q11" s="1"/>
    </row>
    <row r="12" spans="1:17" ht="3" customHeight="1" x14ac:dyDescent="0.25">
      <c r="G12" s="32"/>
      <c r="P12" s="31"/>
      <c r="Q12" s="1"/>
    </row>
    <row r="13" spans="1:17" ht="3" customHeight="1" thickBot="1" x14ac:dyDescent="0.3">
      <c r="I13" s="32"/>
      <c r="M13" s="32"/>
      <c r="P13" s="31"/>
      <c r="Q13" s="1"/>
    </row>
    <row r="14" spans="1:17" ht="12.75" customHeight="1" thickBot="1" x14ac:dyDescent="0.3">
      <c r="B14" s="35" t="s">
        <v>77</v>
      </c>
      <c r="C14" s="36"/>
      <c r="D14" s="37"/>
      <c r="E14" s="54"/>
      <c r="F14" s="55"/>
      <c r="G14" s="68"/>
      <c r="H14" s="19"/>
      <c r="I14" s="321" t="s">
        <v>97</v>
      </c>
      <c r="J14" s="322"/>
      <c r="K14" s="323"/>
      <c r="L14" s="19"/>
      <c r="M14" s="19"/>
      <c r="N14" s="19"/>
      <c r="P14" s="26">
        <v>0</v>
      </c>
      <c r="Q14" s="56">
        <v>1</v>
      </c>
    </row>
    <row r="15" spans="1:17" s="57" customFormat="1" ht="20.100000000000001" customHeight="1" x14ac:dyDescent="0.25">
      <c r="B15" s="58"/>
      <c r="C15" s="42"/>
      <c r="D15" s="10" t="s">
        <v>6</v>
      </c>
      <c r="E15" s="10" t="s">
        <v>7</v>
      </c>
      <c r="F15" s="10" t="s">
        <v>8</v>
      </c>
      <c r="G15" s="71" t="s">
        <v>34</v>
      </c>
      <c r="H15" s="19"/>
      <c r="I15" s="324"/>
      <c r="J15" s="325"/>
      <c r="K15" s="326"/>
      <c r="L15" s="19"/>
      <c r="M15" s="19"/>
      <c r="N15" s="19"/>
      <c r="O15" s="19"/>
      <c r="P15" s="60">
        <v>5</v>
      </c>
      <c r="Q15" s="61">
        <v>0.79700000000000004</v>
      </c>
    </row>
    <row r="16" spans="1:17" ht="20.100000000000001" customHeight="1" x14ac:dyDescent="0.3">
      <c r="B16" s="62"/>
      <c r="C16" s="63" t="s">
        <v>64</v>
      </c>
      <c r="D16" s="187">
        <v>430750</v>
      </c>
      <c r="E16" s="210">
        <f>2.568+0.58+0.341</f>
        <v>3.4890000000000003</v>
      </c>
      <c r="F16" s="64">
        <f>D7</f>
        <v>4.5289999999999999</v>
      </c>
      <c r="G16" s="47"/>
      <c r="H16" s="19"/>
      <c r="I16" s="19"/>
      <c r="J16" s="3"/>
      <c r="K16" s="10"/>
      <c r="L16" s="10"/>
      <c r="M16" s="32"/>
      <c r="N16" s="32"/>
      <c r="P16" s="60">
        <v>10</v>
      </c>
      <c r="Q16" s="61">
        <v>0.78800000000000003</v>
      </c>
    </row>
    <row r="17" spans="2:17" ht="20.100000000000001" customHeight="1" x14ac:dyDescent="0.3">
      <c r="B17" s="62"/>
      <c r="C17" s="63" t="s">
        <v>0</v>
      </c>
      <c r="D17" s="4"/>
      <c r="E17" s="265">
        <v>35</v>
      </c>
      <c r="F17" s="2"/>
      <c r="G17" s="267"/>
      <c r="H17" s="10"/>
      <c r="I17" s="10"/>
      <c r="J17" s="10"/>
      <c r="K17" s="19"/>
      <c r="L17" s="19"/>
      <c r="M17" s="32"/>
      <c r="N17" s="32"/>
      <c r="P17" s="60">
        <v>15</v>
      </c>
      <c r="Q17" s="61">
        <v>0.77300000000000002</v>
      </c>
    </row>
    <row r="18" spans="2:17" ht="20.100000000000001" customHeight="1" thickBot="1" x14ac:dyDescent="0.35">
      <c r="B18" s="79"/>
      <c r="C18" s="268" t="s">
        <v>1</v>
      </c>
      <c r="D18" s="269"/>
      <c r="E18" s="270">
        <v>45</v>
      </c>
      <c r="F18" s="271"/>
      <c r="G18" s="272">
        <f>VLOOKUP(FLOOR(D9,5),Coeff_Pente,2)</f>
        <v>0.69299999999999995</v>
      </c>
      <c r="H18" s="10"/>
      <c r="I18" s="10"/>
      <c r="J18" s="10"/>
      <c r="K18" s="19"/>
      <c r="L18" s="19"/>
      <c r="M18" s="32"/>
      <c r="N18" s="32"/>
      <c r="P18" s="60">
        <v>20</v>
      </c>
      <c r="Q18" s="61">
        <v>0.752</v>
      </c>
    </row>
    <row r="19" spans="2:17" ht="12.75" customHeight="1" thickBot="1" x14ac:dyDescent="0.35">
      <c r="B19" s="62"/>
      <c r="C19" s="63"/>
      <c r="D19" s="6"/>
      <c r="E19" s="9"/>
      <c r="F19" s="7"/>
      <c r="G19" s="7"/>
      <c r="H19" s="65"/>
      <c r="I19" s="65"/>
      <c r="J19" s="65"/>
      <c r="K19" s="32"/>
      <c r="L19" s="47"/>
      <c r="M19" s="32"/>
      <c r="N19" s="32"/>
      <c r="P19" s="60">
        <v>25</v>
      </c>
      <c r="Q19" s="61">
        <v>0.72499999999999998</v>
      </c>
    </row>
    <row r="20" spans="2:17" ht="12.75" customHeight="1" thickBot="1" x14ac:dyDescent="0.3">
      <c r="B20" s="35" t="s">
        <v>9</v>
      </c>
      <c r="C20" s="36"/>
      <c r="D20" s="37"/>
      <c r="E20" s="54"/>
      <c r="F20" s="55"/>
      <c r="G20" s="55"/>
      <c r="H20" s="55"/>
      <c r="I20" s="67"/>
      <c r="J20" s="67"/>
      <c r="K20" s="55"/>
      <c r="L20" s="68"/>
      <c r="M20" s="43"/>
      <c r="N20" s="19"/>
      <c r="P20" s="60">
        <v>30</v>
      </c>
      <c r="Q20" s="61">
        <v>0.69299999999999995</v>
      </c>
    </row>
    <row r="21" spans="2:17" s="57" customFormat="1" ht="20.100000000000001" customHeight="1" x14ac:dyDescent="0.25">
      <c r="B21" s="62"/>
      <c r="C21" s="63"/>
      <c r="D21" s="69" t="s">
        <v>6</v>
      </c>
      <c r="E21" s="70" t="s">
        <v>28</v>
      </c>
      <c r="F21" s="70" t="s">
        <v>29</v>
      </c>
      <c r="G21" s="59" t="s">
        <v>32</v>
      </c>
      <c r="H21" s="59" t="s">
        <v>33</v>
      </c>
      <c r="I21" s="10"/>
      <c r="J21" s="10"/>
      <c r="K21" s="59"/>
      <c r="L21" s="71"/>
      <c r="M21" s="10"/>
      <c r="N21" s="19"/>
      <c r="O21" s="19"/>
      <c r="P21" s="60">
        <v>35</v>
      </c>
      <c r="Q21" s="61">
        <v>0.54600000000000004</v>
      </c>
    </row>
    <row r="22" spans="2:17" ht="20.100000000000001" customHeight="1" x14ac:dyDescent="0.25">
      <c r="B22" s="62"/>
      <c r="C22" s="63" t="s">
        <v>43</v>
      </c>
      <c r="D22" s="187">
        <v>746143</v>
      </c>
      <c r="E22" s="212">
        <v>700</v>
      </c>
      <c r="F22" s="213">
        <v>450</v>
      </c>
      <c r="G22" s="72">
        <v>360</v>
      </c>
      <c r="H22" s="214">
        <v>10</v>
      </c>
      <c r="I22" s="73"/>
      <c r="J22" s="74"/>
      <c r="K22" s="75"/>
      <c r="L22" s="66"/>
      <c r="M22" s="31"/>
      <c r="N22" s="32"/>
      <c r="P22" s="60">
        <v>40</v>
      </c>
      <c r="Q22" s="61">
        <v>0.40899999999999997</v>
      </c>
    </row>
    <row r="23" spans="2:17" ht="20.100000000000001" customHeight="1" x14ac:dyDescent="0.25">
      <c r="B23" s="62"/>
      <c r="C23" s="63" t="s">
        <v>52</v>
      </c>
      <c r="D23" s="187">
        <v>742719</v>
      </c>
      <c r="E23" s="29"/>
      <c r="F23" s="213">
        <v>450</v>
      </c>
      <c r="G23" s="215">
        <v>360</v>
      </c>
      <c r="H23" s="214">
        <v>10</v>
      </c>
      <c r="I23" s="73"/>
      <c r="J23" s="74"/>
      <c r="L23" s="66"/>
      <c r="M23" s="31"/>
      <c r="N23" s="32"/>
      <c r="P23" s="60"/>
      <c r="Q23" s="61"/>
    </row>
    <row r="24" spans="2:17" ht="20.100000000000001" customHeight="1" x14ac:dyDescent="0.25">
      <c r="B24" s="62"/>
      <c r="C24" s="63" t="s">
        <v>52</v>
      </c>
      <c r="D24" s="187">
        <v>746105</v>
      </c>
      <c r="E24" s="212">
        <v>700</v>
      </c>
      <c r="F24" s="213">
        <v>450</v>
      </c>
      <c r="G24" s="215">
        <v>360</v>
      </c>
      <c r="H24" s="214">
        <v>6</v>
      </c>
      <c r="I24" s="73"/>
      <c r="J24" s="74"/>
      <c r="K24" s="75"/>
      <c r="L24" s="66"/>
      <c r="M24" s="31"/>
      <c r="N24" s="32"/>
      <c r="P24" s="60"/>
      <c r="Q24" s="61"/>
    </row>
    <row r="25" spans="2:17" ht="20.100000000000001" customHeight="1" x14ac:dyDescent="0.25">
      <c r="B25" s="58"/>
      <c r="C25" s="42"/>
      <c r="D25" s="69" t="s">
        <v>6</v>
      </c>
      <c r="E25" s="70" t="s">
        <v>28</v>
      </c>
      <c r="F25" s="70" t="s">
        <v>29</v>
      </c>
      <c r="G25" s="59" t="s">
        <v>32</v>
      </c>
      <c r="L25" s="47"/>
      <c r="N25" s="32"/>
      <c r="P25" s="60"/>
      <c r="Q25" s="61"/>
    </row>
    <row r="26" spans="2:17" ht="20.100000000000001" customHeight="1" x14ac:dyDescent="0.25">
      <c r="B26" s="62"/>
      <c r="C26" s="63" t="s">
        <v>44</v>
      </c>
      <c r="D26" s="187">
        <v>742718</v>
      </c>
      <c r="E26" s="212">
        <v>85</v>
      </c>
      <c r="F26" s="213">
        <v>35</v>
      </c>
      <c r="G26" s="215">
        <v>50</v>
      </c>
      <c r="L26" s="47"/>
      <c r="N26" s="32"/>
      <c r="P26" s="60">
        <v>45</v>
      </c>
      <c r="Q26" s="61">
        <v>0.28299999999999997</v>
      </c>
    </row>
    <row r="27" spans="2:17" ht="20.100000000000001" customHeight="1" x14ac:dyDescent="0.3">
      <c r="B27" s="62"/>
      <c r="C27" s="63"/>
      <c r="D27" s="4"/>
      <c r="E27" s="10" t="s">
        <v>47</v>
      </c>
      <c r="F27" s="10" t="s">
        <v>48</v>
      </c>
      <c r="G27" s="10" t="s">
        <v>69</v>
      </c>
      <c r="H27" s="10" t="s">
        <v>70</v>
      </c>
      <c r="I27" s="20" t="s">
        <v>49</v>
      </c>
      <c r="J27" s="32" t="s">
        <v>50</v>
      </c>
      <c r="K27" s="76"/>
      <c r="L27" s="77"/>
      <c r="N27" s="32"/>
      <c r="P27" s="60"/>
      <c r="Q27" s="61"/>
    </row>
    <row r="28" spans="2:17" ht="20.100000000000001" customHeight="1" x14ac:dyDescent="0.3">
      <c r="B28" s="62"/>
      <c r="C28" s="63"/>
      <c r="D28" s="4"/>
      <c r="E28" s="216">
        <v>19</v>
      </c>
      <c r="F28" s="214">
        <v>36</v>
      </c>
      <c r="G28" s="214">
        <v>28</v>
      </c>
      <c r="H28" s="214">
        <v>28</v>
      </c>
      <c r="I28" s="216">
        <v>9</v>
      </c>
      <c r="J28" s="217">
        <v>43</v>
      </c>
      <c r="K28" s="78"/>
      <c r="L28" s="77"/>
      <c r="N28" s="32"/>
      <c r="P28" s="60"/>
      <c r="Q28" s="61"/>
    </row>
    <row r="29" spans="2:17" ht="12.75" customHeight="1" thickBot="1" x14ac:dyDescent="0.35">
      <c r="B29" s="79"/>
      <c r="C29" s="80"/>
      <c r="D29" s="81"/>
      <c r="E29" s="33"/>
      <c r="F29" s="33"/>
      <c r="G29" s="33"/>
      <c r="H29" s="5"/>
      <c r="I29" s="8"/>
      <c r="J29" s="82"/>
      <c r="K29" s="33"/>
      <c r="L29" s="83"/>
      <c r="M29" s="62"/>
      <c r="N29" s="32"/>
      <c r="P29" s="60">
        <v>50</v>
      </c>
      <c r="Q29" s="61">
        <v>0.17100000000000001</v>
      </c>
    </row>
    <row r="30" spans="2:17" ht="12.75" customHeight="1" x14ac:dyDescent="0.35">
      <c r="B30" s="32"/>
      <c r="C30" s="84"/>
      <c r="E30" s="21"/>
      <c r="F30" s="65"/>
      <c r="G30" s="65"/>
      <c r="H30" s="22"/>
      <c r="I30" s="23"/>
      <c r="J30" s="65"/>
      <c r="K30" s="32"/>
      <c r="L30" s="32"/>
      <c r="M30" s="32"/>
      <c r="N30" s="32"/>
      <c r="P30" s="60"/>
      <c r="Q30" s="61"/>
    </row>
    <row r="31" spans="2:17" ht="12.75" customHeight="1" thickBot="1" x14ac:dyDescent="0.3">
      <c r="P31" s="25">
        <v>60</v>
      </c>
      <c r="Q31" s="85">
        <v>0</v>
      </c>
    </row>
    <row r="32" spans="2:17" ht="12.75" customHeight="1" thickBot="1" x14ac:dyDescent="0.3">
      <c r="B32" s="86" t="s">
        <v>35</v>
      </c>
      <c r="C32" s="87"/>
      <c r="D32" s="88"/>
      <c r="E32" s="89"/>
      <c r="F32" s="89"/>
      <c r="G32" s="89"/>
      <c r="H32" s="89"/>
      <c r="I32" s="89"/>
      <c r="J32" s="89"/>
      <c r="K32" s="89"/>
      <c r="L32" s="90"/>
      <c r="P32" s="31"/>
      <c r="Q32" s="1"/>
    </row>
    <row r="33" spans="1:17" ht="20.100000000000001" customHeight="1" x14ac:dyDescent="0.25">
      <c r="B33" s="91"/>
      <c r="C33" s="92"/>
      <c r="D33" s="93" t="s">
        <v>6</v>
      </c>
      <c r="E33" s="93" t="s">
        <v>7</v>
      </c>
      <c r="F33" s="94" t="s">
        <v>36</v>
      </c>
      <c r="G33" s="93"/>
      <c r="H33" s="95"/>
      <c r="I33" s="95"/>
      <c r="J33" s="95"/>
      <c r="K33" s="95"/>
      <c r="L33" s="96"/>
      <c r="P33" s="31"/>
      <c r="Q33" s="1"/>
    </row>
    <row r="34" spans="1:17" ht="20.100000000000001" customHeight="1" x14ac:dyDescent="0.3">
      <c r="B34" s="60"/>
      <c r="C34" s="63" t="s">
        <v>64</v>
      </c>
      <c r="D34" s="4">
        <v>430750</v>
      </c>
      <c r="E34" s="14">
        <f>E16*D7</f>
        <v>15.801681</v>
      </c>
      <c r="F34" s="97">
        <f>E34*9.81</f>
        <v>155.01449061000002</v>
      </c>
      <c r="G34" s="28"/>
      <c r="H34" s="32"/>
      <c r="I34" s="32"/>
      <c r="J34" s="3"/>
      <c r="K34" s="65"/>
      <c r="L34" s="61"/>
      <c r="P34" s="31"/>
      <c r="Q34" s="1"/>
    </row>
    <row r="35" spans="1:17" ht="20.100000000000001" customHeight="1" x14ac:dyDescent="0.3">
      <c r="B35" s="60"/>
      <c r="C35" s="63" t="s">
        <v>0</v>
      </c>
      <c r="D35" s="4"/>
      <c r="E35" s="14">
        <f>E17*(D7+0.105)*D8</f>
        <v>113.53299999999999</v>
      </c>
      <c r="F35" s="97">
        <f>E35*9.81</f>
        <v>1113.75873</v>
      </c>
      <c r="G35" s="12"/>
      <c r="H35" s="65"/>
      <c r="I35" s="65"/>
      <c r="J35" s="65"/>
      <c r="K35" s="32"/>
      <c r="L35" s="98"/>
      <c r="P35" s="31"/>
      <c r="Q35" s="1"/>
    </row>
    <row r="36" spans="1:17" ht="20.100000000000001" customHeight="1" x14ac:dyDescent="0.3">
      <c r="B36" s="99"/>
      <c r="C36" s="63" t="s">
        <v>1</v>
      </c>
      <c r="D36" s="15"/>
      <c r="E36" s="14">
        <f>E18*(D7+0.14)*D8*G18</f>
        <v>101.92193549999999</v>
      </c>
      <c r="F36" s="97">
        <f>E36*9.81</f>
        <v>999.85418725499994</v>
      </c>
      <c r="G36" s="13"/>
      <c r="H36" s="65"/>
      <c r="I36" s="65"/>
      <c r="J36" s="65"/>
      <c r="K36" s="32"/>
      <c r="L36" s="98"/>
      <c r="P36" s="31"/>
      <c r="Q36" s="1"/>
    </row>
    <row r="37" spans="1:17" ht="20.100000000000001" customHeight="1" x14ac:dyDescent="0.3">
      <c r="B37" s="99"/>
      <c r="C37" s="63"/>
      <c r="D37" s="32"/>
      <c r="E37" s="14"/>
      <c r="F37" s="32"/>
      <c r="G37" s="13"/>
      <c r="H37" s="65"/>
      <c r="I37" s="65"/>
      <c r="J37" s="65"/>
      <c r="K37" s="32"/>
      <c r="L37" s="98"/>
      <c r="P37" s="31"/>
      <c r="Q37" s="1"/>
    </row>
    <row r="38" spans="1:17" ht="20.100000000000001" customHeight="1" thickBot="1" x14ac:dyDescent="0.35">
      <c r="A38" s="19"/>
      <c r="B38" s="60"/>
      <c r="C38" s="15" t="s">
        <v>42</v>
      </c>
      <c r="D38" s="11"/>
      <c r="E38" s="14">
        <f>SUM(E34:E36)</f>
        <v>231.25661649999998</v>
      </c>
      <c r="F38" s="100">
        <f>SUM(F34:F36)</f>
        <v>2268.6274078649999</v>
      </c>
      <c r="G38" s="7"/>
      <c r="H38" s="101"/>
      <c r="I38" s="101"/>
      <c r="J38" s="65"/>
      <c r="K38" s="32"/>
      <c r="L38" s="98"/>
      <c r="M38" s="19"/>
      <c r="N38" s="19"/>
      <c r="O38" s="19"/>
      <c r="P38" s="10"/>
      <c r="Q38" s="1"/>
    </row>
    <row r="39" spans="1:17" ht="20.100000000000001" customHeight="1" thickBot="1" x14ac:dyDescent="0.3">
      <c r="A39" s="19"/>
      <c r="B39" s="60"/>
      <c r="C39" s="15" t="s">
        <v>61</v>
      </c>
      <c r="D39" s="11"/>
      <c r="E39" s="14"/>
      <c r="F39" s="102">
        <f>D11/2*F38/TAN(RADIANS(D9))*G10/D10</f>
        <v>1964.6889669327311</v>
      </c>
      <c r="G39" s="27"/>
      <c r="H39" s="26"/>
      <c r="I39" s="103" t="s">
        <v>62</v>
      </c>
      <c r="J39" s="104">
        <f>F$39*SIN(RADIANS(D$9))</f>
        <v>982.34448346636543</v>
      </c>
      <c r="K39" s="32"/>
      <c r="L39" s="98"/>
      <c r="M39" s="19"/>
      <c r="N39" s="19"/>
      <c r="O39" s="19"/>
      <c r="P39" s="10"/>
      <c r="Q39" s="1"/>
    </row>
    <row r="40" spans="1:17" ht="20.100000000000001" customHeight="1" thickBot="1" x14ac:dyDescent="0.3">
      <c r="A40" s="19"/>
      <c r="B40" s="60"/>
      <c r="C40" s="15"/>
      <c r="D40" s="11"/>
      <c r="E40" s="14"/>
      <c r="F40" s="105"/>
      <c r="H40" s="25"/>
      <c r="I40" s="106" t="s">
        <v>63</v>
      </c>
      <c r="J40" s="107">
        <f>F$39*COS(RADIANS(D$9))</f>
        <v>1701.4705558987503</v>
      </c>
      <c r="K40" s="32"/>
      <c r="L40" s="98"/>
      <c r="M40" s="19"/>
      <c r="N40" s="19"/>
      <c r="O40" s="19"/>
      <c r="P40" s="10"/>
      <c r="Q40" s="1"/>
    </row>
    <row r="41" spans="1:17" ht="12.75" customHeight="1" thickBot="1" x14ac:dyDescent="0.35">
      <c r="A41" s="19"/>
      <c r="B41" s="25"/>
      <c r="C41" s="108"/>
      <c r="D41" s="16"/>
      <c r="E41" s="17"/>
      <c r="F41" s="18"/>
      <c r="G41" s="18"/>
      <c r="H41" s="101"/>
      <c r="I41" s="101"/>
      <c r="J41" s="101"/>
      <c r="K41" s="109"/>
      <c r="L41" s="27"/>
      <c r="M41" s="19"/>
      <c r="N41" s="19"/>
      <c r="O41" s="19"/>
      <c r="P41" s="10"/>
      <c r="Q41" s="1"/>
    </row>
    <row r="42" spans="1:17" ht="12.75" customHeight="1" x14ac:dyDescent="0.3">
      <c r="A42" s="19"/>
      <c r="B42" s="32"/>
      <c r="C42" s="63"/>
      <c r="D42" s="11"/>
      <c r="E42" s="9"/>
      <c r="F42" s="7"/>
      <c r="G42" s="7"/>
      <c r="H42" s="65"/>
      <c r="I42" s="65"/>
      <c r="J42" s="65"/>
      <c r="K42" s="32"/>
      <c r="L42" s="32"/>
      <c r="M42" s="19"/>
      <c r="N42" s="19"/>
      <c r="O42" s="19"/>
      <c r="P42" s="10"/>
      <c r="Q42" s="1"/>
    </row>
    <row r="43" spans="1:17" ht="12.75" customHeight="1" thickBot="1" x14ac:dyDescent="0.35">
      <c r="A43" s="19"/>
      <c r="B43" s="32"/>
      <c r="C43" s="63"/>
      <c r="D43" s="11"/>
      <c r="E43" s="9"/>
      <c r="F43" s="7"/>
      <c r="G43" s="7"/>
      <c r="H43" s="65"/>
      <c r="I43" s="65"/>
      <c r="J43" s="65"/>
      <c r="K43" s="32"/>
      <c r="L43" s="32"/>
      <c r="M43" s="19"/>
      <c r="N43" s="19"/>
      <c r="O43" s="19"/>
      <c r="P43" s="10"/>
      <c r="Q43" s="1"/>
    </row>
    <row r="44" spans="1:17" ht="13.2" thickBot="1" x14ac:dyDescent="0.3">
      <c r="A44" s="19"/>
      <c r="B44" s="110" t="s">
        <v>88</v>
      </c>
      <c r="C44" s="111"/>
      <c r="D44" s="112"/>
      <c r="E44" s="112"/>
      <c r="F44" s="113"/>
      <c r="G44" s="114"/>
      <c r="H44" s="115"/>
      <c r="I44" s="116"/>
      <c r="J44" s="117"/>
      <c r="K44" s="112"/>
      <c r="L44" s="118"/>
      <c r="M44" s="19"/>
      <c r="N44" s="19"/>
      <c r="O44" s="19"/>
      <c r="P44" s="10"/>
      <c r="Q44" s="1"/>
    </row>
    <row r="45" spans="1:17" ht="20.100000000000001" customHeight="1" x14ac:dyDescent="0.25">
      <c r="A45" s="19"/>
      <c r="B45" s="119"/>
      <c r="C45" s="120"/>
      <c r="D45" s="19"/>
      <c r="E45" s="10" t="s">
        <v>37</v>
      </c>
      <c r="F45" s="121" t="s">
        <v>38</v>
      </c>
      <c r="G45" s="28" t="s">
        <v>60</v>
      </c>
      <c r="H45" s="10" t="s">
        <v>41</v>
      </c>
      <c r="I45" s="122"/>
      <c r="J45" s="19"/>
      <c r="K45" s="19"/>
      <c r="L45" s="48"/>
      <c r="M45" s="19"/>
      <c r="N45" s="19"/>
      <c r="O45" s="19"/>
      <c r="P45" s="10"/>
      <c r="Q45" s="1"/>
    </row>
    <row r="46" spans="1:17" ht="20.100000000000001" customHeight="1" x14ac:dyDescent="0.25">
      <c r="A46" s="19"/>
      <c r="B46" s="123"/>
      <c r="C46" s="15" t="s">
        <v>53</v>
      </c>
      <c r="D46" s="124"/>
      <c r="E46" s="125">
        <f>F39/(PI()*H22^2/4)</f>
        <v>25.015196858036276</v>
      </c>
      <c r="F46" s="125">
        <f>E22</f>
        <v>700</v>
      </c>
      <c r="G46" s="126">
        <f>E46/F46*100</f>
        <v>3.5735995511480394</v>
      </c>
      <c r="H46" s="127" t="str">
        <f>IF(E46&gt;F46,"oui","non")</f>
        <v>non</v>
      </c>
      <c r="I46" s="120"/>
      <c r="J46" s="19"/>
      <c r="K46" s="19"/>
      <c r="L46" s="48"/>
      <c r="M46" s="124"/>
      <c r="N46" s="128"/>
      <c r="O46" s="19"/>
      <c r="P46" s="10"/>
      <c r="Q46" s="1"/>
    </row>
    <row r="47" spans="1:17" ht="12.75" customHeight="1" thickBot="1" x14ac:dyDescent="0.3">
      <c r="A47" s="19"/>
      <c r="B47" s="129"/>
      <c r="C47" s="130"/>
      <c r="D47" s="131"/>
      <c r="E47" s="132"/>
      <c r="F47" s="133"/>
      <c r="G47" s="82"/>
      <c r="H47" s="131"/>
      <c r="I47" s="134"/>
      <c r="J47" s="135"/>
      <c r="K47" s="135"/>
      <c r="L47" s="136"/>
      <c r="M47" s="19"/>
      <c r="N47" s="19"/>
      <c r="O47" s="19"/>
      <c r="P47" s="10"/>
      <c r="Q47" s="1"/>
    </row>
    <row r="48" spans="1:17" ht="20.100000000000001" customHeight="1" thickBot="1" x14ac:dyDescent="0.3">
      <c r="A48" s="19"/>
      <c r="B48" s="137"/>
      <c r="C48" s="138"/>
      <c r="D48" s="124"/>
      <c r="E48" s="139"/>
      <c r="F48" s="140"/>
      <c r="G48" s="65"/>
      <c r="H48" s="124"/>
      <c r="I48" s="141"/>
      <c r="J48" s="19"/>
      <c r="K48" s="19"/>
      <c r="L48" s="19"/>
      <c r="M48" s="19"/>
      <c r="N48" s="19"/>
      <c r="O48" s="19"/>
      <c r="P48" s="10"/>
      <c r="Q48" s="1"/>
    </row>
    <row r="49" spans="1:17" ht="12.75" customHeight="1" thickBot="1" x14ac:dyDescent="0.3">
      <c r="A49" s="19"/>
      <c r="B49" s="110" t="s">
        <v>89</v>
      </c>
      <c r="C49" s="111"/>
      <c r="D49" s="112"/>
      <c r="E49" s="112"/>
      <c r="F49" s="142"/>
      <c r="G49" s="143"/>
      <c r="H49" s="115"/>
      <c r="I49" s="116"/>
      <c r="J49" s="117"/>
      <c r="K49" s="112"/>
      <c r="L49" s="118"/>
      <c r="M49" s="19"/>
      <c r="N49" s="19"/>
      <c r="O49" s="19"/>
      <c r="P49" s="10"/>
      <c r="Q49" s="1"/>
    </row>
    <row r="50" spans="1:17" ht="20.100000000000001" customHeight="1" x14ac:dyDescent="0.25">
      <c r="A50" s="19"/>
      <c r="B50" s="119"/>
      <c r="C50" s="120"/>
      <c r="D50" s="19"/>
      <c r="E50" s="10" t="s">
        <v>37</v>
      </c>
      <c r="F50" s="121" t="s">
        <v>38</v>
      </c>
      <c r="G50" s="28" t="s">
        <v>60</v>
      </c>
      <c r="H50" s="10" t="s">
        <v>41</v>
      </c>
      <c r="I50" s="122"/>
      <c r="J50" s="19"/>
      <c r="K50" s="19"/>
      <c r="L50" s="48"/>
      <c r="M50" s="19"/>
      <c r="N50" s="19"/>
      <c r="O50" s="19"/>
      <c r="P50" s="19"/>
    </row>
    <row r="51" spans="1:17" ht="20.100000000000001" customHeight="1" x14ac:dyDescent="0.25">
      <c r="A51" s="19"/>
      <c r="B51" s="123"/>
      <c r="C51" s="15" t="s">
        <v>53</v>
      </c>
      <c r="D51" s="124"/>
      <c r="E51" s="125">
        <f>F39/(PI()*H22^2/4)*1.33*1/2</f>
        <v>16.635105910594124</v>
      </c>
      <c r="F51" s="125">
        <f>G23</f>
        <v>360</v>
      </c>
      <c r="G51" s="126">
        <f>E51/F51*100</f>
        <v>4.6208627529428119</v>
      </c>
      <c r="H51" s="127" t="str">
        <f>IF(E51&gt;F51,"oui","non")</f>
        <v>non</v>
      </c>
      <c r="I51" s="120"/>
      <c r="J51" s="19"/>
      <c r="K51" s="19"/>
      <c r="L51" s="48"/>
      <c r="M51" s="19"/>
      <c r="N51" s="19"/>
      <c r="O51" s="19"/>
      <c r="P51" s="19"/>
    </row>
    <row r="52" spans="1:17" ht="20.100000000000001" customHeight="1" thickBot="1" x14ac:dyDescent="0.3">
      <c r="A52" s="19"/>
      <c r="B52" s="129"/>
      <c r="C52" s="130"/>
      <c r="D52" s="131"/>
      <c r="E52" s="132"/>
      <c r="F52" s="133"/>
      <c r="G52" s="82"/>
      <c r="H52" s="131"/>
      <c r="I52" s="134"/>
      <c r="J52" s="135"/>
      <c r="K52" s="135"/>
      <c r="L52" s="136"/>
      <c r="M52" s="19"/>
      <c r="N52" s="19"/>
      <c r="O52" s="19"/>
      <c r="P52" s="19"/>
    </row>
    <row r="53" spans="1:17" ht="20.100000000000001" customHeight="1" thickBot="1" x14ac:dyDescent="0.3">
      <c r="A53" s="19"/>
      <c r="B53" s="144"/>
      <c r="C53" s="145"/>
      <c r="D53" s="124"/>
      <c r="E53" s="32"/>
      <c r="F53" s="146"/>
      <c r="G53" s="140"/>
      <c r="H53" s="147"/>
      <c r="I53" s="148"/>
      <c r="J53" s="19"/>
      <c r="K53" s="19"/>
      <c r="L53" s="149"/>
      <c r="M53" s="19"/>
      <c r="N53" s="19"/>
      <c r="O53" s="19"/>
      <c r="P53" s="19"/>
    </row>
    <row r="54" spans="1:17" ht="12.75" customHeight="1" thickBot="1" x14ac:dyDescent="0.3">
      <c r="A54" s="19"/>
      <c r="B54" s="110" t="s">
        <v>90</v>
      </c>
      <c r="C54" s="111"/>
      <c r="D54" s="112"/>
      <c r="E54" s="112"/>
      <c r="F54" s="142"/>
      <c r="G54" s="143"/>
      <c r="H54" s="115"/>
      <c r="I54" s="116"/>
      <c r="J54" s="117"/>
      <c r="K54" s="112"/>
      <c r="L54" s="118"/>
      <c r="M54" s="19"/>
      <c r="N54" s="19"/>
      <c r="O54" s="19"/>
      <c r="P54" s="19"/>
    </row>
    <row r="55" spans="1:17" ht="20.100000000000001" customHeight="1" x14ac:dyDescent="0.25">
      <c r="A55" s="19"/>
      <c r="B55" s="150" t="s">
        <v>54</v>
      </c>
      <c r="C55" s="120"/>
      <c r="D55" s="19"/>
      <c r="E55" s="10" t="s">
        <v>37</v>
      </c>
      <c r="F55" s="121" t="s">
        <v>38</v>
      </c>
      <c r="G55" s="28" t="s">
        <v>60</v>
      </c>
      <c r="H55" s="10" t="s">
        <v>41</v>
      </c>
      <c r="I55" s="122"/>
      <c r="J55" s="19"/>
      <c r="K55" s="19"/>
      <c r="L55" s="48"/>
      <c r="M55" s="19"/>
      <c r="N55" s="19"/>
      <c r="O55" s="19"/>
      <c r="P55" s="19"/>
    </row>
    <row r="56" spans="1:17" ht="20.100000000000001" customHeight="1" x14ac:dyDescent="0.25">
      <c r="A56" s="19"/>
      <c r="B56" s="151"/>
      <c r="C56" s="152" t="s">
        <v>57</v>
      </c>
      <c r="D56" s="19"/>
      <c r="E56" s="100">
        <f>(G$28/(2*F$28)*COS(RADIANS(D$9))-1/2*SIN(RADIANS(D$9)))*F$39</f>
        <v>170.51075222744242</v>
      </c>
      <c r="F56" s="121"/>
      <c r="G56" s="28"/>
      <c r="H56" s="10"/>
      <c r="I56" s="122"/>
      <c r="J56" s="19"/>
      <c r="K56" s="19"/>
      <c r="L56" s="48"/>
      <c r="M56" s="19"/>
      <c r="N56" s="19"/>
      <c r="O56" s="19"/>
      <c r="P56" s="19"/>
    </row>
    <row r="57" spans="1:17" ht="20.100000000000001" customHeight="1" x14ac:dyDescent="0.25">
      <c r="A57" s="19"/>
      <c r="B57" s="123"/>
      <c r="C57" s="63" t="s">
        <v>39</v>
      </c>
      <c r="D57" s="11"/>
      <c r="E57" s="30">
        <f>E56/(PI()*H$24^2/4)</f>
        <v>6.0305842371810812</v>
      </c>
      <c r="F57" s="125">
        <f>E$24</f>
        <v>700</v>
      </c>
      <c r="G57" s="126">
        <f>E57/F57*100</f>
        <v>0.86151203388301156</v>
      </c>
      <c r="H57" s="127" t="str">
        <f>IF(E57&gt;F57,"oui","non")</f>
        <v>non</v>
      </c>
      <c r="I57" s="19"/>
      <c r="J57" s="19"/>
      <c r="K57" s="19"/>
      <c r="L57" s="48"/>
      <c r="M57" s="19"/>
      <c r="N57" s="19"/>
      <c r="O57" s="19"/>
      <c r="P57" s="19"/>
    </row>
    <row r="58" spans="1:17" ht="20.100000000000001" customHeight="1" x14ac:dyDescent="0.25">
      <c r="A58" s="19"/>
      <c r="B58" s="123"/>
      <c r="C58" s="153" t="s">
        <v>58</v>
      </c>
      <c r="D58" s="11"/>
      <c r="E58" s="24">
        <v>0</v>
      </c>
      <c r="F58" s="154"/>
      <c r="G58" s="28"/>
      <c r="H58" s="127"/>
      <c r="I58" s="19"/>
      <c r="J58" s="19"/>
      <c r="K58" s="19"/>
      <c r="L58" s="48"/>
      <c r="M58" s="19"/>
      <c r="N58" s="19"/>
      <c r="O58" s="19"/>
      <c r="P58" s="19"/>
    </row>
    <row r="59" spans="1:17" ht="20.100000000000001" customHeight="1" x14ac:dyDescent="0.25">
      <c r="A59" s="19"/>
      <c r="B59" s="123"/>
      <c r="C59" s="63" t="s">
        <v>40</v>
      </c>
      <c r="D59" s="19"/>
      <c r="E59" s="125">
        <f>E58/(PI()*H$24^2/4)*1.33</f>
        <v>0</v>
      </c>
      <c r="F59" s="125">
        <f>G$24</f>
        <v>360</v>
      </c>
      <c r="G59" s="126">
        <f>E59/F59*100</f>
        <v>0</v>
      </c>
      <c r="H59" s="127" t="str">
        <f>IF(E59&gt;F59,"oui","non")</f>
        <v>non</v>
      </c>
      <c r="I59" s="120"/>
      <c r="J59" s="19"/>
      <c r="K59" s="19"/>
      <c r="L59" s="48"/>
      <c r="M59" s="19"/>
      <c r="N59" s="19"/>
      <c r="O59" s="19"/>
      <c r="P59" s="19"/>
    </row>
    <row r="60" spans="1:17" ht="20.100000000000001" customHeight="1" x14ac:dyDescent="0.25">
      <c r="A60" s="19"/>
      <c r="B60" s="123"/>
      <c r="C60" s="63"/>
      <c r="D60" s="124"/>
      <c r="E60" s="154"/>
      <c r="F60" s="154"/>
      <c r="G60" s="10"/>
      <c r="H60" s="127"/>
      <c r="I60" s="120"/>
      <c r="J60" s="19"/>
      <c r="K60" s="19"/>
      <c r="L60" s="48"/>
      <c r="M60" s="19"/>
      <c r="N60" s="19"/>
      <c r="O60" s="19"/>
      <c r="P60" s="19"/>
    </row>
    <row r="61" spans="1:17" ht="20.100000000000001" customHeight="1" x14ac:dyDescent="0.3">
      <c r="A61" s="19"/>
      <c r="B61" s="155"/>
      <c r="C61" s="15" t="s">
        <v>55</v>
      </c>
      <c r="D61" s="120"/>
      <c r="E61" s="125">
        <f>SQRT(E57^2+3*E59^2)</f>
        <v>6.0305842371810812</v>
      </c>
      <c r="F61" s="125">
        <f>F$24*0.9</f>
        <v>405</v>
      </c>
      <c r="G61" s="126">
        <f>E61/F61*100</f>
        <v>1.489033144982983</v>
      </c>
      <c r="H61" s="127" t="str">
        <f>IF(E61&gt;F61,"oui","non")</f>
        <v>non</v>
      </c>
      <c r="I61" s="19"/>
      <c r="J61" s="19"/>
      <c r="K61" s="19"/>
      <c r="L61" s="48"/>
      <c r="M61" s="19"/>
      <c r="N61" s="19"/>
      <c r="O61" s="19"/>
      <c r="P61" s="19"/>
    </row>
    <row r="62" spans="1:17" ht="20.100000000000001" customHeight="1" x14ac:dyDescent="0.3">
      <c r="A62" s="19"/>
      <c r="B62" s="155"/>
      <c r="C62" s="15"/>
      <c r="D62" s="120"/>
      <c r="E62" s="156"/>
      <c r="F62" s="156"/>
      <c r="G62" s="10"/>
      <c r="H62" s="157"/>
      <c r="I62" s="19"/>
      <c r="J62" s="19"/>
      <c r="K62" s="19"/>
      <c r="L62" s="48"/>
      <c r="M62" s="19"/>
      <c r="N62" s="19"/>
      <c r="O62" s="19"/>
      <c r="P62" s="19"/>
    </row>
    <row r="63" spans="1:17" ht="20.100000000000001" customHeight="1" x14ac:dyDescent="0.25">
      <c r="A63" s="19"/>
      <c r="B63" s="150" t="s">
        <v>56</v>
      </c>
      <c r="C63" s="124"/>
      <c r="D63" s="19"/>
      <c r="E63" s="10" t="s">
        <v>37</v>
      </c>
      <c r="F63" s="121" t="s">
        <v>38</v>
      </c>
      <c r="G63" s="28" t="s">
        <v>60</v>
      </c>
      <c r="H63" s="10" t="s">
        <v>41</v>
      </c>
      <c r="I63" s="141"/>
      <c r="J63" s="19"/>
      <c r="K63" s="19"/>
      <c r="L63" s="48"/>
      <c r="M63" s="19"/>
      <c r="N63" s="19"/>
      <c r="O63" s="19"/>
      <c r="P63" s="19"/>
    </row>
    <row r="64" spans="1:17" ht="20.100000000000001" customHeight="1" x14ac:dyDescent="0.25">
      <c r="A64" s="19"/>
      <c r="B64" s="151"/>
      <c r="C64" s="152" t="s">
        <v>57</v>
      </c>
      <c r="D64" s="19"/>
      <c r="E64" s="100">
        <f>ABS(-G$28/(2*F$28)*COS(RADIANS(D$9))-1/2*SIN(RADIANS(D$9)))*F$39</f>
        <v>1152.8552356938078</v>
      </c>
      <c r="F64" s="121"/>
      <c r="G64" s="28"/>
      <c r="H64" s="10"/>
      <c r="I64" s="141"/>
      <c r="J64" s="19"/>
      <c r="K64" s="19"/>
      <c r="L64" s="48"/>
      <c r="M64" s="19"/>
      <c r="N64" s="19"/>
      <c r="O64" s="19"/>
      <c r="P64" s="19"/>
    </row>
    <row r="65" spans="1:16" ht="20.100000000000001" customHeight="1" x14ac:dyDescent="0.25">
      <c r="A65" s="19"/>
      <c r="B65" s="123"/>
      <c r="C65" s="63" t="s">
        <v>39</v>
      </c>
      <c r="D65" s="11"/>
      <c r="E65" s="30">
        <f>E64/(PI()*H$24^2/4)</f>
        <v>40.773913206675907</v>
      </c>
      <c r="F65" s="125">
        <f>E$24</f>
        <v>700</v>
      </c>
      <c r="G65" s="126">
        <f>E65/F65*100</f>
        <v>5.8248447438108437</v>
      </c>
      <c r="H65" s="127" t="str">
        <f>IF(E65&gt;F65,"oui","non")</f>
        <v>non</v>
      </c>
      <c r="I65" s="158"/>
      <c r="J65" s="19"/>
      <c r="K65" s="19"/>
      <c r="L65" s="48"/>
      <c r="M65" s="19"/>
      <c r="N65" s="19"/>
      <c r="O65" s="19"/>
      <c r="P65" s="19"/>
    </row>
    <row r="66" spans="1:16" ht="20.100000000000001" customHeight="1" x14ac:dyDescent="0.25">
      <c r="A66" s="19"/>
      <c r="B66" s="123"/>
      <c r="C66" s="153" t="s">
        <v>58</v>
      </c>
      <c r="D66" s="11"/>
      <c r="E66" s="24">
        <f>COS(RADIANS(D9))*F39</f>
        <v>1701.4705558987503</v>
      </c>
      <c r="F66" s="154"/>
      <c r="G66" s="28"/>
      <c r="H66" s="127"/>
      <c r="I66" s="159"/>
      <c r="J66" s="19"/>
      <c r="K66" s="19"/>
      <c r="L66" s="48"/>
      <c r="M66" s="19"/>
      <c r="N66" s="19"/>
      <c r="O66" s="19"/>
      <c r="P66" s="19"/>
    </row>
    <row r="67" spans="1:16" ht="20.100000000000001" customHeight="1" x14ac:dyDescent="0.25">
      <c r="A67" s="19"/>
      <c r="B67" s="123"/>
      <c r="C67" s="63" t="s">
        <v>40</v>
      </c>
      <c r="D67" s="19"/>
      <c r="E67" s="125">
        <f>E66/(PI()*H$24^2/4)*1.33</f>
        <v>80.03569062899544</v>
      </c>
      <c r="F67" s="125">
        <f>G$24</f>
        <v>360</v>
      </c>
      <c r="G67" s="126">
        <f>E67/F67*100</f>
        <v>22.232136285832066</v>
      </c>
      <c r="H67" s="127" t="str">
        <f>IF(E67&gt;F67,"oui","non")</f>
        <v>non</v>
      </c>
      <c r="I67" s="159"/>
      <c r="J67" s="19"/>
      <c r="K67" s="19"/>
      <c r="L67" s="48"/>
      <c r="M67" s="19"/>
      <c r="N67" s="19"/>
      <c r="O67" s="19"/>
      <c r="P67" s="19"/>
    </row>
    <row r="68" spans="1:16" ht="20.100000000000001" customHeight="1" x14ac:dyDescent="0.25">
      <c r="A68" s="19"/>
      <c r="B68" s="123"/>
      <c r="C68" s="63"/>
      <c r="D68" s="124"/>
      <c r="E68" s="154"/>
      <c r="F68" s="154"/>
      <c r="G68" s="10"/>
      <c r="H68" s="127"/>
      <c r="I68" s="159"/>
      <c r="J68" s="19"/>
      <c r="K68" s="19"/>
      <c r="L68" s="48"/>
      <c r="M68" s="19"/>
      <c r="N68" s="19"/>
      <c r="O68" s="19"/>
      <c r="P68" s="19"/>
    </row>
    <row r="69" spans="1:16" ht="20.100000000000001" customHeight="1" x14ac:dyDescent="0.3">
      <c r="A69" s="19"/>
      <c r="B69" s="155"/>
      <c r="C69" s="15" t="s">
        <v>59</v>
      </c>
      <c r="D69" s="120"/>
      <c r="E69" s="125">
        <f>SQRT(E65^2+3*E67^2)</f>
        <v>144.49791459244781</v>
      </c>
      <c r="F69" s="125">
        <f>F$24*0.9</f>
        <v>405</v>
      </c>
      <c r="G69" s="126">
        <f>E69/F69*100</f>
        <v>35.678497430234032</v>
      </c>
      <c r="H69" s="127" t="str">
        <f>IF(E69&gt;F69,"oui","non")</f>
        <v>non</v>
      </c>
      <c r="I69" s="159"/>
      <c r="J69" s="19"/>
      <c r="K69" s="19"/>
      <c r="L69" s="19"/>
      <c r="M69" s="43"/>
      <c r="N69" s="19"/>
      <c r="O69" s="19"/>
      <c r="P69" s="19"/>
    </row>
    <row r="70" spans="1:16" ht="13.2" thickBot="1" x14ac:dyDescent="0.3">
      <c r="A70" s="19"/>
      <c r="B70" s="129"/>
      <c r="C70" s="130"/>
      <c r="D70" s="131"/>
      <c r="E70" s="132"/>
      <c r="F70" s="133"/>
      <c r="G70" s="33"/>
      <c r="H70" s="131"/>
      <c r="I70" s="160"/>
      <c r="J70" s="135"/>
      <c r="K70" s="135"/>
      <c r="L70" s="135"/>
      <c r="M70" s="43"/>
      <c r="N70" s="19"/>
      <c r="O70" s="19"/>
      <c r="P70" s="19"/>
    </row>
    <row r="71" spans="1:16" ht="20.100000000000001" customHeight="1" thickBot="1" x14ac:dyDescent="0.3">
      <c r="A71" s="19"/>
      <c r="B71" s="161"/>
      <c r="C71" s="138"/>
      <c r="D71" s="124"/>
      <c r="E71" s="139"/>
      <c r="F71" s="140"/>
      <c r="G71" s="19"/>
      <c r="H71" s="124"/>
      <c r="I71" s="159"/>
      <c r="J71" s="19"/>
      <c r="K71" s="19"/>
      <c r="L71" s="19"/>
      <c r="M71" s="19"/>
      <c r="N71" s="19"/>
      <c r="O71" s="19"/>
      <c r="P71" s="19"/>
    </row>
    <row r="72" spans="1:16" ht="13.2" thickBot="1" x14ac:dyDescent="0.3">
      <c r="A72" s="19"/>
      <c r="B72" s="110" t="s">
        <v>82</v>
      </c>
      <c r="C72" s="111"/>
      <c r="D72" s="112"/>
      <c r="E72" s="112"/>
      <c r="F72" s="142"/>
      <c r="G72" s="114"/>
      <c r="H72" s="115"/>
      <c r="I72" s="116"/>
      <c r="J72" s="117"/>
      <c r="K72" s="112"/>
      <c r="L72" s="118"/>
      <c r="M72" s="19"/>
      <c r="N72" s="19"/>
      <c r="O72" s="19"/>
      <c r="P72" s="19"/>
    </row>
    <row r="73" spans="1:16" ht="20.100000000000001" customHeight="1" x14ac:dyDescent="0.25">
      <c r="A73" s="19"/>
      <c r="B73" s="123"/>
      <c r="C73" s="63"/>
      <c r="D73" s="11"/>
      <c r="E73" s="30"/>
      <c r="F73" s="125"/>
      <c r="G73" s="126"/>
      <c r="H73" s="127"/>
      <c r="I73" s="19"/>
      <c r="J73" s="19"/>
      <c r="K73" s="19"/>
      <c r="L73" s="48"/>
      <c r="M73" s="19"/>
      <c r="N73" s="19"/>
      <c r="O73" s="19"/>
      <c r="P73" s="19"/>
    </row>
    <row r="74" spans="1:16" ht="20.100000000000001" customHeight="1" x14ac:dyDescent="0.25">
      <c r="A74" s="19"/>
      <c r="B74" s="162" t="s">
        <v>65</v>
      </c>
      <c r="C74" s="63"/>
      <c r="D74" s="11"/>
      <c r="E74" s="10" t="s">
        <v>37</v>
      </c>
      <c r="F74" s="121" t="s">
        <v>38</v>
      </c>
      <c r="G74" s="28" t="s">
        <v>60</v>
      </c>
      <c r="H74" s="10" t="s">
        <v>41</v>
      </c>
      <c r="I74" s="19"/>
      <c r="J74" s="19"/>
      <c r="K74" s="19"/>
      <c r="L74" s="48"/>
      <c r="M74" s="19"/>
      <c r="N74" s="19"/>
      <c r="O74" s="19"/>
      <c r="P74" s="19"/>
    </row>
    <row r="75" spans="1:16" ht="20.100000000000001" customHeight="1" x14ac:dyDescent="0.25">
      <c r="A75" s="19"/>
      <c r="B75" s="123"/>
      <c r="C75" s="63" t="s">
        <v>39</v>
      </c>
      <c r="D75" s="19"/>
      <c r="E75" s="125">
        <f>1/(2*E28*I28)*COS(RADIANS(D$9))*F39*1.5</f>
        <v>7.4625901574506592</v>
      </c>
      <c r="F75" s="125">
        <f>G26</f>
        <v>50</v>
      </c>
      <c r="G75" s="126">
        <f>E75/F75*100</f>
        <v>14.925180314901318</v>
      </c>
      <c r="H75" s="127" t="str">
        <f>IF(E75&gt;F75,"oui","non")</f>
        <v>non</v>
      </c>
      <c r="I75" s="120"/>
      <c r="J75" s="19"/>
      <c r="K75" s="19"/>
      <c r="L75" s="48"/>
      <c r="M75" s="19"/>
      <c r="N75" s="19"/>
      <c r="O75" s="19"/>
      <c r="P75" s="19"/>
    </row>
    <row r="76" spans="1:16" ht="20.100000000000001" customHeight="1" x14ac:dyDescent="0.25">
      <c r="A76" s="19"/>
      <c r="B76" s="123"/>
      <c r="C76" s="63" t="s">
        <v>40</v>
      </c>
      <c r="D76" s="19"/>
      <c r="E76" s="125">
        <f>1/(2*E28*I28)*SIN(RADIANS(D$9))*F39</f>
        <v>2.8723522908373256</v>
      </c>
      <c r="F76" s="125">
        <f>E26</f>
        <v>85</v>
      </c>
      <c r="G76" s="126">
        <f>E76/F76*100</f>
        <v>3.3792379892203828</v>
      </c>
      <c r="H76" s="127" t="str">
        <f>IF(E76&gt;F76,"oui","non")</f>
        <v>non</v>
      </c>
      <c r="I76" s="120"/>
      <c r="J76" s="19"/>
      <c r="K76" s="19"/>
      <c r="L76" s="48"/>
      <c r="M76" s="19"/>
      <c r="N76" s="19"/>
      <c r="O76" s="19"/>
      <c r="P76" s="19"/>
    </row>
    <row r="77" spans="1:16" ht="20.100000000000001" customHeight="1" x14ac:dyDescent="0.25">
      <c r="A77" s="19"/>
      <c r="B77" s="123"/>
      <c r="C77" s="63" t="s">
        <v>67</v>
      </c>
      <c r="D77" s="120"/>
      <c r="E77" s="125">
        <f>SQRT(3*E$75^2+E$76^2)</f>
        <v>13.240889821190901</v>
      </c>
      <c r="F77" s="125">
        <f>F26*0.9</f>
        <v>31.5</v>
      </c>
      <c r="G77" s="126">
        <f>E77/F77*100</f>
        <v>42.034570860923495</v>
      </c>
      <c r="H77" s="127" t="str">
        <f>IF(E77&gt;F77,"oui","non")</f>
        <v>non</v>
      </c>
      <c r="I77" s="120"/>
      <c r="J77" s="19"/>
      <c r="K77" s="19"/>
      <c r="L77" s="48"/>
      <c r="M77" s="19"/>
      <c r="N77" s="19"/>
      <c r="O77" s="19"/>
      <c r="P77" s="19"/>
    </row>
    <row r="78" spans="1:16" ht="20.100000000000001" customHeight="1" x14ac:dyDescent="0.25">
      <c r="A78" s="19"/>
      <c r="B78" s="123"/>
      <c r="C78" s="63"/>
      <c r="D78" s="120"/>
      <c r="E78" s="125"/>
      <c r="F78" s="125"/>
      <c r="G78" s="126"/>
      <c r="H78" s="127"/>
      <c r="I78" s="120"/>
      <c r="J78" s="19"/>
      <c r="K78" s="19"/>
      <c r="L78" s="48"/>
      <c r="M78" s="19"/>
      <c r="N78" s="19"/>
      <c r="O78" s="19"/>
      <c r="P78" s="19"/>
    </row>
    <row r="79" spans="1:16" ht="20.100000000000001" customHeight="1" x14ac:dyDescent="0.25">
      <c r="A79" s="19"/>
      <c r="B79" s="162" t="s">
        <v>66</v>
      </c>
      <c r="C79" s="120"/>
      <c r="D79" s="19"/>
      <c r="E79" s="10" t="s">
        <v>37</v>
      </c>
      <c r="F79" s="121" t="s">
        <v>38</v>
      </c>
      <c r="G79" s="28" t="s">
        <v>60</v>
      </c>
      <c r="H79" s="10" t="s">
        <v>41</v>
      </c>
      <c r="I79" s="122"/>
      <c r="J79" s="19"/>
      <c r="K79" s="19"/>
      <c r="L79" s="48"/>
      <c r="M79" s="19"/>
      <c r="N79" s="19"/>
      <c r="O79" s="19"/>
      <c r="P79" s="19"/>
    </row>
    <row r="80" spans="1:16" ht="20.100000000000001" customHeight="1" x14ac:dyDescent="0.25">
      <c r="B80" s="123"/>
      <c r="C80" s="63" t="s">
        <v>39</v>
      </c>
      <c r="D80" s="11"/>
      <c r="E80" s="30">
        <f>(1/(2*E28*I28)*(3*G28/E28*COS(RADIANS(D$9))+SIN(RADIANS(D$9)))*F39)</f>
        <v>24.867354860165584</v>
      </c>
      <c r="F80" s="125">
        <f>E26</f>
        <v>85</v>
      </c>
      <c r="G80" s="126">
        <f>E80/F80*100</f>
        <v>29.255711600194807</v>
      </c>
      <c r="H80" s="127" t="str">
        <f>IF(E80&gt;F80,"oui","non")</f>
        <v>non</v>
      </c>
      <c r="I80" s="19"/>
      <c r="J80" s="19"/>
      <c r="K80" s="19"/>
      <c r="L80" s="48"/>
    </row>
    <row r="81" spans="2:12" ht="20.100000000000001" customHeight="1" x14ac:dyDescent="0.25">
      <c r="B81" s="123"/>
      <c r="C81" s="63" t="s">
        <v>40</v>
      </c>
      <c r="D81" s="19"/>
      <c r="E81" s="125">
        <f>6*E64*(F28-E28)/(J28*H28^2)+E66/(J28*H28)</f>
        <v>4.9012935929619541</v>
      </c>
      <c r="F81" s="125">
        <f>E26</f>
        <v>85</v>
      </c>
      <c r="G81" s="126">
        <f>E81/F81*100</f>
        <v>5.7662277564258284</v>
      </c>
      <c r="H81" s="127" t="str">
        <f>IF(E81&gt;F81,"oui","non")</f>
        <v>non</v>
      </c>
      <c r="I81" s="19"/>
      <c r="J81" s="19"/>
      <c r="K81" s="19"/>
      <c r="L81" s="48"/>
    </row>
    <row r="82" spans="2:12" ht="20.100000000000001" customHeight="1" x14ac:dyDescent="0.25">
      <c r="B82" s="123"/>
      <c r="C82" s="63" t="s">
        <v>67</v>
      </c>
      <c r="D82" s="120"/>
      <c r="E82" s="125">
        <f>SQRT(E$80^2+E$81^2)</f>
        <v>25.345769205644771</v>
      </c>
      <c r="F82" s="125">
        <f>F26*0.9</f>
        <v>31.5</v>
      </c>
      <c r="G82" s="126">
        <f>E82/F82*100</f>
        <v>80.462759382999266</v>
      </c>
      <c r="H82" s="127" t="str">
        <f>IF(E82&gt;F82,"oui","non")</f>
        <v>non</v>
      </c>
      <c r="I82" s="19"/>
      <c r="J82" s="19"/>
      <c r="K82" s="19"/>
      <c r="L82" s="48"/>
    </row>
    <row r="83" spans="2:12" ht="20.100000000000001" customHeight="1" x14ac:dyDescent="0.25">
      <c r="B83" s="123"/>
      <c r="C83" s="63"/>
      <c r="D83" s="120"/>
      <c r="E83" s="125"/>
      <c r="F83" s="125"/>
      <c r="G83" s="126"/>
      <c r="H83" s="127"/>
      <c r="I83" s="19"/>
      <c r="J83" s="19"/>
      <c r="K83" s="19"/>
      <c r="L83" s="48"/>
    </row>
    <row r="84" spans="2:12" ht="20.100000000000001" customHeight="1" x14ac:dyDescent="0.25">
      <c r="B84" s="162" t="s">
        <v>68</v>
      </c>
      <c r="C84" s="63"/>
      <c r="D84" s="11"/>
      <c r="E84" s="10" t="s">
        <v>37</v>
      </c>
      <c r="F84" s="121" t="s">
        <v>38</v>
      </c>
      <c r="G84" s="28" t="s">
        <v>60</v>
      </c>
      <c r="H84" s="10" t="s">
        <v>41</v>
      </c>
      <c r="I84" s="19"/>
      <c r="J84" s="19"/>
      <c r="K84" s="19"/>
      <c r="L84" s="48"/>
    </row>
    <row r="85" spans="2:12" ht="20.100000000000001" customHeight="1" x14ac:dyDescent="0.25">
      <c r="B85" s="123"/>
      <c r="C85" s="63" t="s">
        <v>39</v>
      </c>
      <c r="D85" s="19"/>
      <c r="E85" s="125">
        <f>E64/(J28*H28)*1.5</f>
        <v>1.4362814398178667</v>
      </c>
      <c r="F85" s="125">
        <f>$F$75</f>
        <v>50</v>
      </c>
      <c r="G85" s="126">
        <f>E85/F85*100</f>
        <v>2.8725628796357334</v>
      </c>
      <c r="H85" s="127" t="str">
        <f>IF(E85&gt;F85,"oui","non")</f>
        <v>non</v>
      </c>
      <c r="I85" s="120"/>
      <c r="J85" s="19"/>
      <c r="K85" s="19"/>
      <c r="L85" s="48"/>
    </row>
    <row r="86" spans="2:12" ht="20.100000000000001" customHeight="1" x14ac:dyDescent="0.25">
      <c r="B86" s="123"/>
      <c r="C86" s="63" t="s">
        <v>40</v>
      </c>
      <c r="D86" s="19"/>
      <c r="E86" s="125">
        <f>E66/(H28*J28)</f>
        <v>1.413181524832849</v>
      </c>
      <c r="F86" s="125">
        <f>$F$76</f>
        <v>85</v>
      </c>
      <c r="G86" s="126">
        <f>E86/F86*100</f>
        <v>1.6625664998033518</v>
      </c>
      <c r="H86" s="127" t="str">
        <f>IF(E86&gt;F86,"oui","non")</f>
        <v>non</v>
      </c>
      <c r="I86" s="120"/>
      <c r="J86" s="19"/>
      <c r="K86" s="19"/>
      <c r="L86" s="48"/>
    </row>
    <row r="87" spans="2:12" ht="20.100000000000001" customHeight="1" x14ac:dyDescent="0.25">
      <c r="B87" s="123"/>
      <c r="C87" s="63" t="s">
        <v>67</v>
      </c>
      <c r="D87" s="120"/>
      <c r="E87" s="125">
        <f>SQRT(3*E85^2+E86^2)</f>
        <v>2.8610828623485807</v>
      </c>
      <c r="F87" s="125">
        <f>$F$77</f>
        <v>31.5</v>
      </c>
      <c r="G87" s="126">
        <f>E87/F87*100</f>
        <v>9.082802737614541</v>
      </c>
      <c r="H87" s="127" t="str">
        <f>IF(E87&gt;F87,"oui","non")</f>
        <v>non</v>
      </c>
      <c r="I87" s="120"/>
      <c r="J87" s="19"/>
      <c r="K87" s="19"/>
      <c r="L87" s="48"/>
    </row>
    <row r="88" spans="2:12" ht="20.100000000000001" customHeight="1" thickBot="1" x14ac:dyDescent="0.3">
      <c r="B88" s="129"/>
      <c r="C88" s="130"/>
      <c r="D88" s="131"/>
      <c r="E88" s="132"/>
      <c r="F88" s="133"/>
      <c r="G88" s="33"/>
      <c r="H88" s="131"/>
      <c r="I88" s="134"/>
      <c r="J88" s="135"/>
      <c r="K88" s="135"/>
      <c r="L88" s="136"/>
    </row>
    <row r="89" spans="2:12" ht="20.100000000000001" customHeight="1" x14ac:dyDescent="0.25">
      <c r="B89" s="163"/>
      <c r="C89" s="124"/>
      <c r="D89" s="159"/>
      <c r="E89" s="164"/>
      <c r="F89" s="140"/>
      <c r="G89" s="165"/>
      <c r="H89" s="159"/>
      <c r="I89" s="159"/>
      <c r="J89" s="19"/>
      <c r="K89" s="19"/>
      <c r="L89" s="19"/>
    </row>
    <row r="90" spans="2:12" x14ac:dyDescent="0.25">
      <c r="B90" s="166"/>
      <c r="C90" s="124"/>
      <c r="D90" s="159"/>
      <c r="E90" s="164"/>
      <c r="F90" s="140"/>
      <c r="G90" s="165"/>
      <c r="H90" s="159"/>
      <c r="I90" s="159"/>
      <c r="J90" s="19"/>
      <c r="K90" s="19"/>
      <c r="L90" s="19"/>
    </row>
    <row r="91" spans="2:12" x14ac:dyDescent="0.25">
      <c r="B91" s="166"/>
      <c r="C91" s="124"/>
      <c r="D91" s="159"/>
      <c r="E91" s="159"/>
      <c r="F91" s="159"/>
      <c r="G91" s="159"/>
      <c r="H91" s="159"/>
      <c r="I91" s="159"/>
      <c r="J91" s="19"/>
      <c r="K91" s="19"/>
      <c r="L91" s="19"/>
    </row>
    <row r="92" spans="2:12" x14ac:dyDescent="0.25">
      <c r="B92" s="166"/>
      <c r="C92" s="124"/>
      <c r="D92" s="167"/>
      <c r="E92" s="159"/>
      <c r="F92" s="167"/>
      <c r="G92" s="159"/>
      <c r="H92" s="167"/>
      <c r="I92" s="159"/>
      <c r="J92" s="19"/>
      <c r="K92" s="19"/>
      <c r="L92" s="19"/>
    </row>
    <row r="93" spans="2:12" x14ac:dyDescent="0.25">
      <c r="B93" s="166"/>
      <c r="C93" s="124"/>
      <c r="D93" s="159"/>
      <c r="E93" s="159"/>
      <c r="F93" s="159"/>
      <c r="G93" s="159"/>
      <c r="H93" s="159"/>
      <c r="I93" s="159"/>
      <c r="J93" s="19"/>
      <c r="K93" s="19"/>
      <c r="L93" s="19"/>
    </row>
    <row r="94" spans="2:12" x14ac:dyDescent="0.25">
      <c r="B94" s="163"/>
      <c r="C94" s="124"/>
      <c r="D94" s="159"/>
      <c r="E94" s="159"/>
      <c r="F94" s="140"/>
      <c r="G94" s="140"/>
      <c r="H94" s="159"/>
      <c r="I94" s="159"/>
      <c r="J94" s="19"/>
      <c r="K94" s="19"/>
      <c r="L94" s="19"/>
    </row>
    <row r="95" spans="2:12" x14ac:dyDescent="0.25">
      <c r="B95" s="166"/>
      <c r="C95" s="124"/>
      <c r="D95" s="159"/>
      <c r="E95" s="159"/>
      <c r="F95" s="159"/>
      <c r="G95" s="159"/>
      <c r="H95" s="159"/>
      <c r="I95" s="159"/>
      <c r="J95" s="19"/>
      <c r="K95" s="19"/>
      <c r="L95" s="19"/>
    </row>
    <row r="96" spans="2:12" x14ac:dyDescent="0.25">
      <c r="B96" s="166"/>
      <c r="C96" s="124"/>
      <c r="D96" s="159"/>
      <c r="E96" s="159"/>
      <c r="F96" s="159"/>
      <c r="G96" s="159"/>
      <c r="H96" s="159"/>
      <c r="K96" s="19"/>
      <c r="L96" s="19"/>
    </row>
    <row r="97" spans="2:9" x14ac:dyDescent="0.25">
      <c r="B97" s="166"/>
      <c r="C97" s="124"/>
      <c r="D97" s="167"/>
      <c r="E97" s="159"/>
      <c r="F97" s="167"/>
      <c r="G97" s="159"/>
      <c r="H97" s="167"/>
    </row>
    <row r="98" spans="2:9" x14ac:dyDescent="0.25">
      <c r="B98" s="166"/>
      <c r="C98" s="124"/>
      <c r="D98" s="159"/>
      <c r="E98" s="159"/>
      <c r="F98" s="159"/>
      <c r="G98" s="159"/>
      <c r="H98" s="159"/>
      <c r="I98" s="168"/>
    </row>
    <row r="99" spans="2:9" x14ac:dyDescent="0.25">
      <c r="B99" s="163"/>
      <c r="C99" s="124"/>
      <c r="D99" s="159"/>
      <c r="E99" s="159"/>
      <c r="F99" s="159"/>
      <c r="G99" s="159"/>
      <c r="H99" s="159"/>
      <c r="I99" s="168"/>
    </row>
    <row r="100" spans="2:9" x14ac:dyDescent="0.25">
      <c r="B100" s="166"/>
      <c r="C100" s="124"/>
      <c r="D100" s="159"/>
      <c r="E100" s="159"/>
      <c r="F100" s="159"/>
      <c r="G100" s="159"/>
      <c r="H100" s="159"/>
      <c r="I100" s="168"/>
    </row>
    <row r="101" spans="2:9" x14ac:dyDescent="0.25">
      <c r="B101" s="166"/>
      <c r="C101" s="124"/>
      <c r="D101" s="159"/>
      <c r="E101" s="159"/>
      <c r="F101" s="159"/>
      <c r="G101" s="159"/>
      <c r="H101" s="159"/>
      <c r="I101" s="168"/>
    </row>
    <row r="102" spans="2:9" x14ac:dyDescent="0.25">
      <c r="B102" s="166"/>
      <c r="C102" s="124"/>
      <c r="D102" s="167"/>
      <c r="E102" s="159"/>
      <c r="F102" s="167"/>
      <c r="G102" s="159"/>
      <c r="H102" s="167"/>
      <c r="I102" s="168"/>
    </row>
    <row r="103" spans="2:9" x14ac:dyDescent="0.25">
      <c r="I103" s="168"/>
    </row>
    <row r="104" spans="2:9" x14ac:dyDescent="0.25">
      <c r="I104" s="168"/>
    </row>
    <row r="105" spans="2:9" x14ac:dyDescent="0.25">
      <c r="B105" s="169"/>
      <c r="C105" s="103"/>
      <c r="D105" s="168"/>
      <c r="E105" s="168"/>
      <c r="F105" s="168"/>
      <c r="G105" s="168"/>
      <c r="H105" s="168"/>
      <c r="I105" s="168"/>
    </row>
    <row r="106" spans="2:9" x14ac:dyDescent="0.25">
      <c r="B106" s="169"/>
      <c r="C106" s="103"/>
      <c r="D106" s="168"/>
      <c r="E106" s="168"/>
      <c r="F106" s="168"/>
      <c r="G106" s="168"/>
      <c r="H106" s="168"/>
      <c r="I106" s="168"/>
    </row>
    <row r="107" spans="2:9" x14ac:dyDescent="0.25">
      <c r="B107" s="169"/>
      <c r="C107" s="103"/>
      <c r="D107" s="170"/>
      <c r="E107" s="168"/>
      <c r="F107" s="170"/>
      <c r="G107" s="168"/>
      <c r="H107" s="170"/>
      <c r="I107" s="168"/>
    </row>
    <row r="108" spans="2:9" x14ac:dyDescent="0.25">
      <c r="B108" s="169"/>
      <c r="C108" s="103"/>
      <c r="D108" s="168"/>
      <c r="E108" s="168"/>
      <c r="F108" s="168"/>
      <c r="G108" s="168"/>
      <c r="H108" s="168"/>
      <c r="I108" s="168"/>
    </row>
    <row r="109" spans="2:9" x14ac:dyDescent="0.25">
      <c r="B109" s="171"/>
      <c r="C109" s="103"/>
      <c r="D109" s="168"/>
      <c r="E109" s="168"/>
      <c r="F109" s="168"/>
      <c r="G109" s="168"/>
      <c r="H109" s="168"/>
      <c r="I109" s="168"/>
    </row>
    <row r="110" spans="2:9" x14ac:dyDescent="0.25">
      <c r="B110" s="169"/>
      <c r="C110" s="103"/>
      <c r="D110" s="168"/>
      <c r="E110" s="168"/>
      <c r="F110" s="168"/>
      <c r="G110" s="168"/>
      <c r="H110" s="168"/>
    </row>
    <row r="111" spans="2:9" x14ac:dyDescent="0.25">
      <c r="B111" s="169"/>
      <c r="C111" s="103"/>
      <c r="D111" s="168"/>
      <c r="E111" s="168"/>
      <c r="F111" s="168"/>
      <c r="G111" s="168"/>
      <c r="H111" s="168"/>
    </row>
    <row r="112" spans="2:9" x14ac:dyDescent="0.25">
      <c r="B112" s="169"/>
      <c r="C112" s="103"/>
      <c r="D112" s="65"/>
      <c r="E112" s="168"/>
      <c r="F112" s="65"/>
      <c r="G112" s="168"/>
      <c r="H112" s="65"/>
    </row>
    <row r="113" spans="2:8" x14ac:dyDescent="0.25">
      <c r="B113" s="169"/>
      <c r="C113" s="103"/>
      <c r="D113" s="168"/>
      <c r="E113" s="168"/>
      <c r="F113" s="168"/>
      <c r="G113" s="168"/>
      <c r="H113" s="168"/>
    </row>
    <row r="114" spans="2:8" x14ac:dyDescent="0.25">
      <c r="B114" s="171"/>
      <c r="C114" s="103"/>
      <c r="D114" s="168"/>
      <c r="E114" s="168"/>
      <c r="F114" s="168"/>
      <c r="G114" s="168"/>
      <c r="H114" s="168"/>
    </row>
    <row r="115" spans="2:8" x14ac:dyDescent="0.25">
      <c r="B115" s="169"/>
      <c r="C115" s="103"/>
      <c r="D115" s="168"/>
      <c r="E115" s="168"/>
      <c r="F115" s="168"/>
      <c r="G115" s="168"/>
      <c r="H115" s="168"/>
    </row>
    <row r="116" spans="2:8" x14ac:dyDescent="0.25">
      <c r="B116" s="169"/>
      <c r="C116" s="103"/>
      <c r="D116" s="168"/>
      <c r="E116" s="168"/>
      <c r="F116" s="168"/>
      <c r="G116" s="168"/>
      <c r="H116" s="168"/>
    </row>
    <row r="166" spans="2:10" ht="13.2" thickBot="1" x14ac:dyDescent="0.3"/>
    <row r="167" spans="2:10" x14ac:dyDescent="0.25">
      <c r="I167" s="172" t="s">
        <v>21</v>
      </c>
      <c r="J167" s="173">
        <v>4.7999999999999996E-3</v>
      </c>
    </row>
    <row r="168" spans="2:10" x14ac:dyDescent="0.25">
      <c r="I168" s="122"/>
      <c r="J168" s="174"/>
    </row>
    <row r="169" spans="2:10" x14ac:dyDescent="0.25">
      <c r="I169" s="19"/>
      <c r="J169" s="174"/>
    </row>
    <row r="170" spans="2:10" x14ac:dyDescent="0.25">
      <c r="I170" s="120"/>
      <c r="J170" s="174"/>
    </row>
    <row r="171" spans="2:10" x14ac:dyDescent="0.25">
      <c r="I171" s="120"/>
      <c r="J171" s="174"/>
    </row>
    <row r="172" spans="2:10" x14ac:dyDescent="0.25">
      <c r="I172" s="120"/>
      <c r="J172" s="174"/>
    </row>
    <row r="173" spans="2:10" ht="13.2" thickBot="1" x14ac:dyDescent="0.3">
      <c r="I173" s="19"/>
      <c r="J173" s="174"/>
    </row>
    <row r="174" spans="2:10" ht="13.2" thickBot="1" x14ac:dyDescent="0.3">
      <c r="B174" s="175" t="s">
        <v>30</v>
      </c>
      <c r="C174" s="176" t="s">
        <v>11</v>
      </c>
      <c r="D174" s="95">
        <v>5</v>
      </c>
      <c r="E174" s="95"/>
      <c r="F174" s="177" t="s">
        <v>13</v>
      </c>
      <c r="G174" s="178">
        <f>2.5*D174</f>
        <v>12.5</v>
      </c>
      <c r="H174" s="179"/>
      <c r="I174" s="141"/>
      <c r="J174" s="174"/>
    </row>
    <row r="175" spans="2:10" x14ac:dyDescent="0.25">
      <c r="B175" s="120"/>
      <c r="C175" s="180" t="s">
        <v>12</v>
      </c>
      <c r="D175" s="19">
        <v>0.7</v>
      </c>
      <c r="E175" s="120"/>
      <c r="F175" s="181" t="s">
        <v>14</v>
      </c>
      <c r="G175" s="182">
        <f>35*D174*D175</f>
        <v>122.49999999999999</v>
      </c>
      <c r="H175" s="183"/>
      <c r="I175" s="148"/>
      <c r="J175" s="174"/>
    </row>
    <row r="176" spans="2:10" x14ac:dyDescent="0.25">
      <c r="B176" s="184"/>
      <c r="C176" s="185"/>
      <c r="D176" s="19"/>
      <c r="E176" s="19"/>
      <c r="F176" s="186" t="s">
        <v>15</v>
      </c>
      <c r="G176" s="182">
        <f>D174*D175*80</f>
        <v>280</v>
      </c>
      <c r="H176" s="19"/>
      <c r="I176" s="187"/>
      <c r="J176" s="174"/>
    </row>
    <row r="177" spans="2:10" x14ac:dyDescent="0.25">
      <c r="B177" s="184"/>
      <c r="C177" s="185"/>
      <c r="D177" s="19"/>
      <c r="E177" s="188"/>
      <c r="F177" s="10"/>
      <c r="G177" s="189">
        <f>SUM(G174:G176)</f>
        <v>415</v>
      </c>
      <c r="H177" s="148"/>
      <c r="I177" s="159"/>
      <c r="J177" s="174"/>
    </row>
    <row r="178" spans="2:10" x14ac:dyDescent="0.25">
      <c r="B178" s="184"/>
      <c r="C178" s="185"/>
      <c r="D178" s="124"/>
      <c r="E178" s="19"/>
      <c r="F178" s="124"/>
      <c r="G178" s="190"/>
      <c r="H178" s="148"/>
      <c r="I178" s="159"/>
      <c r="J178" s="174"/>
    </row>
    <row r="179" spans="2:10" x14ac:dyDescent="0.25">
      <c r="B179" s="184"/>
      <c r="C179" s="185"/>
      <c r="D179" s="148"/>
      <c r="E179" s="120"/>
      <c r="F179" s="186" t="s">
        <v>16</v>
      </c>
      <c r="G179" s="187">
        <f>G177*5</f>
        <v>2075</v>
      </c>
      <c r="H179" s="148"/>
      <c r="I179" s="159"/>
      <c r="J179" s="174"/>
    </row>
    <row r="180" spans="2:10" ht="16.2" thickBot="1" x14ac:dyDescent="0.35">
      <c r="B180" s="191"/>
      <c r="C180" s="192"/>
      <c r="D180" s="120"/>
      <c r="E180" s="120"/>
      <c r="F180" s="19" t="s">
        <v>18</v>
      </c>
      <c r="G180" s="19" t="s">
        <v>19</v>
      </c>
      <c r="H180" s="19"/>
      <c r="I180" s="193"/>
      <c r="J180" s="194"/>
    </row>
    <row r="181" spans="2:10" x14ac:dyDescent="0.25">
      <c r="B181" s="161"/>
      <c r="C181" s="195"/>
      <c r="D181" s="124" t="s">
        <v>17</v>
      </c>
      <c r="E181" s="139"/>
      <c r="F181" s="158">
        <f>G179*2/(PI()*(0.0048)^2)</f>
        <v>57334463.006194949</v>
      </c>
      <c r="G181" s="158">
        <f>16*7.8/(PI()*(0.0048)^3)</f>
        <v>359203864.61712497</v>
      </c>
      <c r="H181" s="124"/>
      <c r="I181" s="159"/>
      <c r="J181" s="19"/>
    </row>
    <row r="182" spans="2:10" ht="13.2" thickBot="1" x14ac:dyDescent="0.3">
      <c r="B182" s="144"/>
      <c r="C182" s="196"/>
      <c r="D182" s="124" t="s">
        <v>20</v>
      </c>
      <c r="E182" s="32">
        <v>4.4000000000000004</v>
      </c>
      <c r="F182" s="197">
        <f>16*E182/(PI()*J167^3)</f>
        <v>202627821.06607053</v>
      </c>
      <c r="G182" s="158">
        <f>16*7.8/(PI()*(0.0048)^3)</f>
        <v>359203864.61712497</v>
      </c>
      <c r="H182" s="147"/>
      <c r="I182" s="159"/>
      <c r="J182" s="19"/>
    </row>
    <row r="183" spans="2:10" x14ac:dyDescent="0.25">
      <c r="B183" s="19"/>
      <c r="C183" s="196"/>
      <c r="D183" s="124" t="s">
        <v>22</v>
      </c>
      <c r="E183" s="124">
        <v>4200</v>
      </c>
      <c r="F183" s="158">
        <f>4*E183/(PI()*J167^2)</f>
        <v>232100958.67568076</v>
      </c>
      <c r="G183" s="158">
        <v>700000000</v>
      </c>
      <c r="H183" s="187"/>
      <c r="I183" s="198">
        <v>0.06</v>
      </c>
      <c r="J183" s="96"/>
    </row>
    <row r="184" spans="2:10" x14ac:dyDescent="0.25">
      <c r="B184" s="19"/>
      <c r="C184" s="199"/>
      <c r="D184" s="159"/>
      <c r="E184" s="159"/>
      <c r="F184" s="159"/>
      <c r="G184" s="159"/>
      <c r="H184" s="159"/>
      <c r="I184" s="158">
        <v>5.7000000000000002E-3</v>
      </c>
      <c r="J184" s="174"/>
    </row>
    <row r="185" spans="2:10" x14ac:dyDescent="0.25">
      <c r="B185" s="163"/>
      <c r="C185" s="199"/>
      <c r="D185" s="159"/>
      <c r="E185" s="159"/>
      <c r="F185" s="159"/>
      <c r="G185" s="159"/>
      <c r="H185" s="159"/>
      <c r="I185" s="158">
        <v>2.2300000000000002E-3</v>
      </c>
      <c r="J185" s="174"/>
    </row>
    <row r="186" spans="2:10" x14ac:dyDescent="0.25">
      <c r="B186" s="166"/>
      <c r="C186" s="199"/>
      <c r="D186" s="159"/>
      <c r="E186" s="159"/>
      <c r="F186" s="200" t="s">
        <v>23</v>
      </c>
      <c r="G186" s="200" t="s">
        <v>24</v>
      </c>
      <c r="H186" s="159"/>
      <c r="I186" s="159"/>
      <c r="J186" s="174"/>
    </row>
    <row r="187" spans="2:10" ht="13.2" thickBot="1" x14ac:dyDescent="0.3">
      <c r="B187" s="166"/>
      <c r="C187" s="201"/>
      <c r="D187" s="193"/>
      <c r="E187" s="193"/>
      <c r="F187" s="202">
        <f>SQRT(3*(F181+F182)^2+F183^2)</f>
        <v>506568872.35436988</v>
      </c>
      <c r="G187" s="202">
        <f>450000000*0.9</f>
        <v>405000000</v>
      </c>
      <c r="H187" s="193"/>
      <c r="I187" s="159"/>
      <c r="J187" s="174"/>
    </row>
    <row r="188" spans="2:10" x14ac:dyDescent="0.25">
      <c r="B188" s="161"/>
      <c r="C188" s="124"/>
      <c r="D188" s="10"/>
      <c r="E188" s="159"/>
      <c r="F188" s="10"/>
      <c r="G188" s="159"/>
      <c r="H188" s="10"/>
      <c r="I188" s="159"/>
      <c r="J188" s="174"/>
    </row>
    <row r="189" spans="2:10" ht="13.2" thickBot="1" x14ac:dyDescent="0.3">
      <c r="B189" s="161"/>
      <c r="C189" s="124"/>
      <c r="D189" s="159"/>
      <c r="E189" s="159"/>
      <c r="F189" s="159"/>
      <c r="G189" s="159"/>
      <c r="H189" s="159"/>
      <c r="I189" s="159"/>
      <c r="J189" s="174"/>
    </row>
    <row r="190" spans="2:10" ht="13.2" thickBot="1" x14ac:dyDescent="0.3">
      <c r="B190" s="203" t="s">
        <v>31</v>
      </c>
      <c r="C190" s="204"/>
      <c r="D190" s="205"/>
      <c r="E190" s="206"/>
      <c r="F190" s="177" t="s">
        <v>16</v>
      </c>
      <c r="G190" s="207">
        <f>G179</f>
        <v>2075</v>
      </c>
      <c r="H190" s="208" t="s">
        <v>25</v>
      </c>
      <c r="I190" s="159"/>
      <c r="J190" s="174"/>
    </row>
    <row r="191" spans="2:10" x14ac:dyDescent="0.25">
      <c r="B191" s="166"/>
      <c r="C191" s="199"/>
      <c r="D191" s="159"/>
      <c r="E191" s="159"/>
      <c r="F191" s="159"/>
      <c r="G191" s="159"/>
      <c r="H191" s="164" t="s">
        <v>10</v>
      </c>
      <c r="I191" s="159"/>
      <c r="J191" s="174"/>
    </row>
    <row r="192" spans="2:10" x14ac:dyDescent="0.25">
      <c r="B192" s="166"/>
      <c r="C192" s="199"/>
      <c r="D192" s="159"/>
      <c r="E192" s="159"/>
      <c r="F192" s="159"/>
      <c r="G192" s="159"/>
      <c r="H192" s="164" t="s">
        <v>26</v>
      </c>
      <c r="I192" s="159"/>
      <c r="J192" s="174"/>
    </row>
    <row r="193" spans="2:10" x14ac:dyDescent="0.25">
      <c r="B193" s="166"/>
      <c r="C193" s="199"/>
      <c r="D193" s="167"/>
      <c r="E193" s="159"/>
      <c r="F193" s="10"/>
      <c r="G193" s="159"/>
      <c r="H193" s="10"/>
      <c r="I193" s="159"/>
      <c r="J193" s="174"/>
    </row>
    <row r="194" spans="2:10" x14ac:dyDescent="0.25">
      <c r="B194" s="166"/>
      <c r="C194" s="199"/>
      <c r="D194" s="159"/>
      <c r="E194" s="159"/>
      <c r="F194" s="159" t="s">
        <v>18</v>
      </c>
      <c r="G194" s="159" t="s">
        <v>19</v>
      </c>
      <c r="H194" s="159"/>
      <c r="I194" s="159"/>
      <c r="J194" s="174"/>
    </row>
    <row r="195" spans="2:10" ht="13.2" thickBot="1" x14ac:dyDescent="0.3">
      <c r="B195" s="163"/>
      <c r="C195" s="199"/>
      <c r="D195" s="159"/>
      <c r="E195" s="164" t="s">
        <v>27</v>
      </c>
      <c r="F195" s="140">
        <f>G190/(I183*I185)</f>
        <v>15508221.225710016</v>
      </c>
      <c r="G195" s="197">
        <v>110000000</v>
      </c>
      <c r="H195" s="159"/>
      <c r="I195" s="193"/>
      <c r="J195" s="194"/>
    </row>
    <row r="196" spans="2:10" x14ac:dyDescent="0.25">
      <c r="B196" s="166"/>
      <c r="C196" s="199"/>
      <c r="D196" s="159"/>
      <c r="E196" s="164" t="s">
        <v>22</v>
      </c>
      <c r="F196" s="140">
        <f>G190*I184*6/(I183*I185^2)</f>
        <v>237839087.85618046</v>
      </c>
      <c r="G196" s="197">
        <v>160000000</v>
      </c>
      <c r="H196" s="159"/>
    </row>
    <row r="197" spans="2:10" x14ac:dyDescent="0.25">
      <c r="B197" s="166"/>
      <c r="C197" s="199"/>
      <c r="D197" s="159"/>
      <c r="E197" s="159"/>
      <c r="F197" s="159"/>
      <c r="G197" s="159"/>
      <c r="H197" s="159"/>
    </row>
    <row r="198" spans="2:10" x14ac:dyDescent="0.25">
      <c r="B198" s="166"/>
      <c r="C198" s="199"/>
      <c r="D198" s="167"/>
      <c r="E198" s="159"/>
      <c r="F198" s="167"/>
      <c r="G198" s="159"/>
      <c r="H198" s="167"/>
    </row>
    <row r="199" spans="2:10" x14ac:dyDescent="0.25">
      <c r="B199" s="166"/>
      <c r="C199" s="199"/>
      <c r="D199" s="159"/>
      <c r="E199" s="159"/>
      <c r="F199" s="200" t="s">
        <v>23</v>
      </c>
      <c r="G199" s="200" t="s">
        <v>24</v>
      </c>
      <c r="H199" s="159"/>
    </row>
    <row r="200" spans="2:10" x14ac:dyDescent="0.25">
      <c r="B200" s="163"/>
      <c r="C200" s="199"/>
      <c r="D200" s="159"/>
      <c r="E200" s="159"/>
      <c r="F200" s="209">
        <f>SQRT(F195^2*3+F196^2)</f>
        <v>239351094.60584596</v>
      </c>
      <c r="G200" s="209">
        <f>120000000*0.9</f>
        <v>108000000</v>
      </c>
      <c r="H200" s="159"/>
    </row>
    <row r="201" spans="2:10" x14ac:dyDescent="0.25">
      <c r="B201" s="166"/>
      <c r="C201" s="199"/>
      <c r="D201" s="159"/>
      <c r="E201" s="159"/>
      <c r="F201" s="159"/>
      <c r="G201" s="159"/>
      <c r="H201" s="159"/>
    </row>
    <row r="202" spans="2:10" ht="13.2" thickBot="1" x14ac:dyDescent="0.3">
      <c r="B202" s="166"/>
      <c r="C202" s="201"/>
      <c r="D202" s="193"/>
      <c r="E202" s="193"/>
      <c r="F202" s="193"/>
      <c r="G202" s="193"/>
      <c r="H202" s="193"/>
    </row>
  </sheetData>
  <mergeCells count="10">
    <mergeCell ref="B2:G2"/>
    <mergeCell ref="I7:J7"/>
    <mergeCell ref="I6:K6"/>
    <mergeCell ref="I2:K2"/>
    <mergeCell ref="I3:K4"/>
    <mergeCell ref="I14:K15"/>
    <mergeCell ref="I8:J8"/>
    <mergeCell ref="I9:J9"/>
    <mergeCell ref="I10:J10"/>
    <mergeCell ref="I11:J11"/>
  </mergeCells>
  <phoneticPr fontId="4" type="noConversion"/>
  <conditionalFormatting sqref="K7:K11 G85:G87 G73 G75:G78 G46 G51 G57 G59 G61 G65 G67 G69 G80:G83">
    <cfRule type="cellIs" dxfId="5" priority="1" stopIfTrue="1" operator="greaterThan">
      <formula>100</formula>
    </cfRule>
  </conditionalFormatting>
  <conditionalFormatting sqref="G10">
    <cfRule type="cellIs" dxfId="4" priority="2" stopIfTrue="1" operator="lessThan">
      <formula>$D$10</formula>
    </cfRule>
  </conditionalFormatting>
  <pageMargins left="0.78740157499999996" right="0.78740157499999996" top="0.984251969" bottom="0.984251969" header="0.5" footer="0.5"/>
  <pageSetup paperSize="9" orientation="portrait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202"/>
  <sheetViews>
    <sheetView workbookViewId="0">
      <selection activeCell="B74" sqref="B74"/>
    </sheetView>
  </sheetViews>
  <sheetFormatPr baseColWidth="10" defaultColWidth="11.44140625" defaultRowHeight="12.6" x14ac:dyDescent="0.25"/>
  <cols>
    <col min="1" max="1" width="3.5546875" style="20" customWidth="1"/>
    <col min="2" max="2" width="13.33203125" style="20" customWidth="1"/>
    <col min="3" max="3" width="13.5546875" style="20" customWidth="1"/>
    <col min="4" max="13" width="13.33203125" style="20" customWidth="1"/>
    <col min="14" max="14" width="12.6640625" style="20" customWidth="1"/>
    <col min="15" max="15" width="8.109375" style="20" customWidth="1"/>
    <col min="16" max="16" width="8.109375" style="20" hidden="1" customWidth="1"/>
    <col min="17" max="17" width="7" style="20" hidden="1" customWidth="1"/>
    <col min="18" max="16384" width="11.44140625" style="20"/>
  </cols>
  <sheetData>
    <row r="1" spans="1:17" ht="3" customHeight="1" x14ac:dyDescent="0.25">
      <c r="P1" s="31"/>
      <c r="Q1" s="1"/>
    </row>
    <row r="2" spans="1:17" ht="27" customHeight="1" x14ac:dyDescent="0.25">
      <c r="B2" s="331" t="s">
        <v>75</v>
      </c>
      <c r="C2" s="345"/>
      <c r="D2" s="345"/>
      <c r="E2" s="345"/>
      <c r="F2" s="345"/>
      <c r="G2" s="345"/>
      <c r="H2" s="264"/>
      <c r="I2" s="336" t="s">
        <v>80</v>
      </c>
      <c r="J2" s="339"/>
      <c r="K2" s="339"/>
      <c r="L2" s="263"/>
      <c r="P2" s="31"/>
      <c r="Q2" s="1"/>
    </row>
    <row r="3" spans="1:17" ht="12.75" customHeight="1" x14ac:dyDescent="0.25">
      <c r="I3" s="340" t="s">
        <v>81</v>
      </c>
      <c r="J3" s="339"/>
      <c r="K3" s="339"/>
      <c r="L3" s="34"/>
      <c r="P3" s="31"/>
      <c r="Q3" s="1"/>
    </row>
    <row r="4" spans="1:17" ht="12.75" customHeight="1" x14ac:dyDescent="0.25">
      <c r="E4" s="32"/>
      <c r="F4" s="32"/>
      <c r="G4" s="32"/>
      <c r="I4" s="339"/>
      <c r="J4" s="339"/>
      <c r="K4" s="339"/>
      <c r="L4" s="34"/>
      <c r="P4" s="31"/>
      <c r="Q4" s="1"/>
    </row>
    <row r="5" spans="1:17" ht="5.0999999999999996" customHeight="1" thickBot="1" x14ac:dyDescent="0.3">
      <c r="E5" s="33"/>
      <c r="F5" s="33"/>
      <c r="G5" s="33"/>
      <c r="J5" s="34"/>
      <c r="K5" s="34"/>
      <c r="L5" s="34"/>
      <c r="P5" s="31"/>
      <c r="Q5" s="1"/>
    </row>
    <row r="6" spans="1:17" ht="12.75" customHeight="1" thickBot="1" x14ac:dyDescent="0.3">
      <c r="B6" s="35" t="s">
        <v>5</v>
      </c>
      <c r="C6" s="36"/>
      <c r="D6" s="37"/>
      <c r="E6" s="38"/>
      <c r="F6" s="39"/>
      <c r="G6" s="40"/>
      <c r="H6" s="41"/>
      <c r="I6" s="333" t="s">
        <v>41</v>
      </c>
      <c r="J6" s="334"/>
      <c r="K6" s="341"/>
      <c r="L6" s="42"/>
      <c r="M6" s="42"/>
      <c r="N6" s="42"/>
      <c r="P6" s="31"/>
      <c r="Q6" s="1"/>
    </row>
    <row r="7" spans="1:17" ht="27" customHeight="1" x14ac:dyDescent="0.3">
      <c r="B7" s="43"/>
      <c r="C7" s="44" t="s">
        <v>2</v>
      </c>
      <c r="D7" s="225">
        <v>5</v>
      </c>
      <c r="E7" s="349" t="s">
        <v>74</v>
      </c>
      <c r="F7" s="350"/>
      <c r="G7" s="224">
        <f>((D7*COS(D9*PI()/180))+0.078)*2</f>
        <v>9.2190778703664993</v>
      </c>
      <c r="H7" s="19"/>
      <c r="I7" s="327" t="s">
        <v>91</v>
      </c>
      <c r="J7" s="339"/>
      <c r="K7" s="46">
        <f>G46</f>
        <v>14.911164730447926</v>
      </c>
      <c r="L7" s="19"/>
      <c r="M7" s="19"/>
      <c r="N7" s="19"/>
      <c r="P7" s="31"/>
      <c r="Q7" s="1"/>
    </row>
    <row r="8" spans="1:17" ht="27" customHeight="1" x14ac:dyDescent="0.3">
      <c r="A8" s="47"/>
      <c r="B8" s="43"/>
      <c r="C8" s="44" t="s">
        <v>3</v>
      </c>
      <c r="D8" s="226">
        <v>0.7</v>
      </c>
      <c r="F8" s="19"/>
      <c r="G8" s="48"/>
      <c r="H8" s="19"/>
      <c r="I8" s="327" t="s">
        <v>85</v>
      </c>
      <c r="J8" s="339"/>
      <c r="K8" s="46">
        <f>G51</f>
        <v>19.280964394509748</v>
      </c>
      <c r="L8" s="19"/>
      <c r="M8" s="19"/>
      <c r="N8" s="19"/>
      <c r="P8" s="31"/>
      <c r="Q8" s="1"/>
    </row>
    <row r="9" spans="1:17" ht="27" customHeight="1" x14ac:dyDescent="0.3">
      <c r="A9" s="47"/>
      <c r="B9" s="43"/>
      <c r="C9" s="44" t="s">
        <v>4</v>
      </c>
      <c r="D9" s="227">
        <v>25</v>
      </c>
      <c r="F9" s="19"/>
      <c r="G9" s="48"/>
      <c r="H9" s="19"/>
      <c r="I9" s="327" t="s">
        <v>92</v>
      </c>
      <c r="J9" s="339"/>
      <c r="K9" s="46">
        <f>MAX(G57:G61)</f>
        <v>3.899503237349585</v>
      </c>
      <c r="L9" s="19"/>
      <c r="M9" s="19"/>
      <c r="N9" s="19"/>
      <c r="P9" s="31"/>
      <c r="Q9" s="1"/>
    </row>
    <row r="10" spans="1:17" ht="27" customHeight="1" x14ac:dyDescent="0.3">
      <c r="A10" s="47"/>
      <c r="B10" s="43"/>
      <c r="C10" s="44" t="s">
        <v>45</v>
      </c>
      <c r="D10" s="226">
        <f>G10</f>
        <v>2.1130913087034973</v>
      </c>
      <c r="E10" s="32"/>
      <c r="F10" s="44" t="s">
        <v>46</v>
      </c>
      <c r="G10" s="223">
        <f>D7*SIN(RADIANS(D9))</f>
        <v>2.1130913087034973</v>
      </c>
      <c r="H10" s="19"/>
      <c r="I10" s="327" t="s">
        <v>93</v>
      </c>
      <c r="J10" s="339"/>
      <c r="K10" s="46">
        <f>MAX(G65:G69)</f>
        <v>86.637356837831717</v>
      </c>
      <c r="L10" s="19"/>
      <c r="M10" s="19"/>
      <c r="N10" s="19"/>
      <c r="P10" s="31"/>
      <c r="Q10" s="1"/>
    </row>
    <row r="11" spans="1:17" ht="27" customHeight="1" thickBot="1" x14ac:dyDescent="0.35">
      <c r="A11" s="32"/>
      <c r="B11" s="50"/>
      <c r="C11" s="51" t="s">
        <v>51</v>
      </c>
      <c r="D11" s="228">
        <v>3</v>
      </c>
      <c r="E11" s="33"/>
      <c r="F11" s="51"/>
      <c r="G11" s="52"/>
      <c r="H11" s="19"/>
      <c r="I11" s="329" t="s">
        <v>83</v>
      </c>
      <c r="J11" s="330"/>
      <c r="K11" s="53">
        <f>MAX(G80:G89)</f>
        <v>41.236630868847875</v>
      </c>
      <c r="L11" s="19"/>
      <c r="M11" s="19"/>
      <c r="N11" s="19"/>
      <c r="P11" s="31"/>
      <c r="Q11" s="1"/>
    </row>
    <row r="12" spans="1:17" ht="5.0999999999999996" hidden="1" customHeight="1" x14ac:dyDescent="0.25">
      <c r="G12" s="32"/>
      <c r="P12" s="31"/>
      <c r="Q12" s="1"/>
    </row>
    <row r="13" spans="1:17" ht="5.0999999999999996" customHeight="1" thickBot="1" x14ac:dyDescent="0.3">
      <c r="M13" s="32"/>
      <c r="P13" s="31"/>
      <c r="Q13" s="1"/>
    </row>
    <row r="14" spans="1:17" ht="12.75" customHeight="1" thickBot="1" x14ac:dyDescent="0.3">
      <c r="B14" s="35" t="s">
        <v>77</v>
      </c>
      <c r="C14" s="36"/>
      <c r="D14" s="37"/>
      <c r="E14" s="54"/>
      <c r="F14" s="55"/>
      <c r="G14" s="68"/>
      <c r="H14" s="19"/>
      <c r="I14" s="321" t="s">
        <v>97</v>
      </c>
      <c r="J14" s="322"/>
      <c r="K14" s="323"/>
      <c r="L14" s="19"/>
      <c r="M14" s="19"/>
      <c r="N14" s="19"/>
      <c r="P14" s="26">
        <v>0</v>
      </c>
      <c r="Q14" s="56">
        <v>1</v>
      </c>
    </row>
    <row r="15" spans="1:17" s="57" customFormat="1" ht="20.100000000000001" customHeight="1" x14ac:dyDescent="0.25">
      <c r="B15" s="58"/>
      <c r="C15" s="42"/>
      <c r="D15" s="10" t="s">
        <v>6</v>
      </c>
      <c r="E15" s="10" t="s">
        <v>7</v>
      </c>
      <c r="F15" s="10" t="s">
        <v>8</v>
      </c>
      <c r="G15" s="71" t="s">
        <v>34</v>
      </c>
      <c r="H15" s="19"/>
      <c r="I15" s="324"/>
      <c r="J15" s="325"/>
      <c r="K15" s="326"/>
      <c r="L15" s="19"/>
      <c r="M15" s="19"/>
      <c r="N15" s="19"/>
      <c r="O15" s="19"/>
      <c r="P15" s="60">
        <v>5</v>
      </c>
      <c r="Q15" s="61">
        <v>0.79700000000000004</v>
      </c>
    </row>
    <row r="16" spans="1:17" ht="20.100000000000001" customHeight="1" x14ac:dyDescent="0.3">
      <c r="B16" s="343" t="s">
        <v>64</v>
      </c>
      <c r="C16" s="346"/>
      <c r="D16" s="10">
        <v>430750</v>
      </c>
      <c r="E16" s="210">
        <f>2.568+0.58+0.341</f>
        <v>3.4890000000000003</v>
      </c>
      <c r="F16" s="64">
        <f>D7</f>
        <v>5</v>
      </c>
      <c r="G16" s="47"/>
      <c r="H16" s="19"/>
      <c r="I16" s="19"/>
      <c r="J16" s="3"/>
      <c r="K16" s="10"/>
      <c r="L16" s="10"/>
      <c r="M16" s="32"/>
      <c r="N16" s="32"/>
      <c r="P16" s="60">
        <v>10</v>
      </c>
      <c r="Q16" s="61">
        <v>0.78800000000000003</v>
      </c>
    </row>
    <row r="17" spans="1:17" ht="20.100000000000001" customHeight="1" x14ac:dyDescent="0.3">
      <c r="B17" s="343" t="s">
        <v>78</v>
      </c>
      <c r="C17" s="346"/>
      <c r="D17" s="4"/>
      <c r="E17" s="211">
        <v>35</v>
      </c>
      <c r="F17" s="2"/>
      <c r="G17" s="267"/>
      <c r="H17" s="10"/>
      <c r="I17" s="10"/>
      <c r="J17" s="10"/>
      <c r="K17" s="19"/>
      <c r="L17" s="19"/>
      <c r="M17" s="32"/>
      <c r="N17" s="32"/>
      <c r="P17" s="60">
        <v>15</v>
      </c>
      <c r="Q17" s="61">
        <v>0.77300000000000002</v>
      </c>
    </row>
    <row r="18" spans="1:17" ht="20.100000000000001" customHeight="1" thickBot="1" x14ac:dyDescent="0.35">
      <c r="B18" s="347" t="s">
        <v>72</v>
      </c>
      <c r="C18" s="348"/>
      <c r="D18" s="269"/>
      <c r="E18" s="273">
        <v>45</v>
      </c>
      <c r="F18" s="271"/>
      <c r="G18" s="272">
        <f>VLOOKUP(FLOOR(D9,5),Coeff_Pente,2)</f>
        <v>0.72499999999999998</v>
      </c>
      <c r="H18" s="10"/>
      <c r="I18" s="10"/>
      <c r="J18" s="10"/>
      <c r="K18" s="19"/>
      <c r="L18" s="19"/>
      <c r="M18" s="32"/>
      <c r="N18" s="32"/>
      <c r="P18" s="60">
        <v>20</v>
      </c>
      <c r="Q18" s="61">
        <v>0.752</v>
      </c>
    </row>
    <row r="19" spans="1:17" ht="3" customHeight="1" thickBot="1" x14ac:dyDescent="0.35">
      <c r="A19" s="32"/>
      <c r="B19" s="32"/>
      <c r="C19" s="63"/>
      <c r="D19" s="6"/>
      <c r="E19" s="9">
        <v>3</v>
      </c>
      <c r="F19" s="7"/>
      <c r="G19" s="7"/>
      <c r="H19" s="10"/>
      <c r="I19" s="10"/>
      <c r="J19" s="10"/>
      <c r="K19" s="19"/>
      <c r="L19" s="19"/>
      <c r="M19" s="32"/>
      <c r="N19" s="32"/>
      <c r="P19" s="60">
        <v>25</v>
      </c>
      <c r="Q19" s="61">
        <v>0.72499999999999998</v>
      </c>
    </row>
    <row r="20" spans="1:17" ht="12.75" customHeight="1" thickBot="1" x14ac:dyDescent="0.3">
      <c r="B20" s="35" t="s">
        <v>9</v>
      </c>
      <c r="C20" s="36"/>
      <c r="D20" s="37"/>
      <c r="E20" s="54"/>
      <c r="F20" s="55"/>
      <c r="G20" s="55"/>
      <c r="H20" s="230"/>
      <c r="I20" s="231"/>
      <c r="J20" s="231"/>
      <c r="K20" s="230"/>
      <c r="L20" s="232"/>
      <c r="M20" s="43"/>
      <c r="N20" s="19"/>
      <c r="P20" s="60">
        <v>30</v>
      </c>
      <c r="Q20" s="61">
        <v>0.69299999999999995</v>
      </c>
    </row>
    <row r="21" spans="1:17" s="57" customFormat="1" ht="20.100000000000001" customHeight="1" x14ac:dyDescent="0.25">
      <c r="B21" s="62"/>
      <c r="C21" s="63"/>
      <c r="D21" s="69" t="s">
        <v>6</v>
      </c>
      <c r="E21" s="70" t="s">
        <v>28</v>
      </c>
      <c r="F21" s="70" t="s">
        <v>29</v>
      </c>
      <c r="G21" s="59" t="s">
        <v>32</v>
      </c>
      <c r="H21" s="59" t="s">
        <v>33</v>
      </c>
      <c r="I21" s="10"/>
      <c r="J21" s="10"/>
      <c r="K21" s="59"/>
      <c r="L21" s="71"/>
      <c r="M21" s="10"/>
      <c r="N21" s="19"/>
      <c r="O21" s="19"/>
      <c r="P21" s="60">
        <v>35</v>
      </c>
      <c r="Q21" s="61">
        <v>0.54600000000000004</v>
      </c>
    </row>
    <row r="22" spans="1:17" ht="20.100000000000001" customHeight="1" x14ac:dyDescent="0.25">
      <c r="B22" s="343" t="s">
        <v>43</v>
      </c>
      <c r="C22" s="344"/>
      <c r="D22" s="10">
        <v>746143</v>
      </c>
      <c r="E22" s="212">
        <v>700</v>
      </c>
      <c r="F22" s="213">
        <v>450</v>
      </c>
      <c r="G22" s="72">
        <v>360</v>
      </c>
      <c r="H22" s="214">
        <v>10</v>
      </c>
      <c r="I22" s="73"/>
      <c r="J22" s="74"/>
      <c r="K22" s="75"/>
      <c r="L22" s="66"/>
      <c r="M22" s="31"/>
      <c r="N22" s="32"/>
      <c r="P22" s="60">
        <v>40</v>
      </c>
      <c r="Q22" s="61">
        <v>0.40899999999999997</v>
      </c>
    </row>
    <row r="23" spans="1:17" ht="20.100000000000001" customHeight="1" thickBot="1" x14ac:dyDescent="0.3">
      <c r="B23" s="343" t="s">
        <v>100</v>
      </c>
      <c r="C23" s="344"/>
      <c r="D23" s="10">
        <v>742719</v>
      </c>
      <c r="E23" s="29"/>
      <c r="F23" s="213">
        <v>450</v>
      </c>
      <c r="G23" s="215">
        <v>360</v>
      </c>
      <c r="H23" s="214">
        <v>10</v>
      </c>
      <c r="I23" s="73"/>
      <c r="J23" s="74"/>
      <c r="L23" s="66"/>
      <c r="M23" s="31"/>
      <c r="N23" s="32"/>
      <c r="P23" s="60"/>
      <c r="Q23" s="61"/>
    </row>
    <row r="24" spans="1:17" ht="20.100000000000001" customHeight="1" thickBot="1" x14ac:dyDescent="0.3">
      <c r="B24" s="343" t="s">
        <v>101</v>
      </c>
      <c r="C24" s="344"/>
      <c r="D24" s="10">
        <v>746105</v>
      </c>
      <c r="E24" s="212">
        <v>700</v>
      </c>
      <c r="F24" s="213">
        <v>450</v>
      </c>
      <c r="G24" s="215">
        <v>360</v>
      </c>
      <c r="H24" s="221">
        <v>8</v>
      </c>
      <c r="I24" s="73"/>
      <c r="J24" s="74"/>
      <c r="K24" s="75"/>
      <c r="L24" s="66"/>
      <c r="M24" s="31"/>
      <c r="N24" s="32"/>
      <c r="P24" s="60"/>
      <c r="Q24" s="61"/>
    </row>
    <row r="25" spans="1:17" ht="20.100000000000001" customHeight="1" thickBot="1" x14ac:dyDescent="0.3">
      <c r="B25" s="58"/>
      <c r="C25" s="42"/>
      <c r="D25" s="69" t="s">
        <v>6</v>
      </c>
      <c r="E25" s="70" t="s">
        <v>28</v>
      </c>
      <c r="F25" s="70" t="s">
        <v>29</v>
      </c>
      <c r="G25" s="59" t="s">
        <v>32</v>
      </c>
      <c r="L25" s="47"/>
      <c r="N25" s="32"/>
      <c r="P25" s="60"/>
      <c r="Q25" s="61"/>
    </row>
    <row r="26" spans="1:17" ht="20.100000000000001" customHeight="1" thickBot="1" x14ac:dyDescent="0.3">
      <c r="B26" s="343" t="s">
        <v>44</v>
      </c>
      <c r="C26" s="344"/>
      <c r="D26" s="10">
        <v>742718</v>
      </c>
      <c r="E26" s="218">
        <v>300</v>
      </c>
      <c r="F26" s="219">
        <v>200</v>
      </c>
      <c r="G26" s="220">
        <v>150</v>
      </c>
      <c r="L26" s="47"/>
      <c r="N26" s="32"/>
      <c r="P26" s="60">
        <v>45</v>
      </c>
      <c r="Q26" s="61">
        <v>0.28299999999999997</v>
      </c>
    </row>
    <row r="27" spans="1:17" ht="20.100000000000001" customHeight="1" x14ac:dyDescent="0.3">
      <c r="B27" s="62"/>
      <c r="C27" s="63"/>
      <c r="D27" s="4"/>
      <c r="E27" s="10" t="s">
        <v>47</v>
      </c>
      <c r="F27" s="10" t="s">
        <v>48</v>
      </c>
      <c r="G27" s="10" t="s">
        <v>69</v>
      </c>
      <c r="H27" s="10" t="s">
        <v>70</v>
      </c>
      <c r="I27" s="20" t="s">
        <v>49</v>
      </c>
      <c r="J27" s="32" t="s">
        <v>50</v>
      </c>
      <c r="K27" s="76"/>
      <c r="L27" s="77"/>
      <c r="N27" s="32"/>
      <c r="P27" s="60"/>
      <c r="Q27" s="61"/>
    </row>
    <row r="28" spans="1:17" ht="20.100000000000001" customHeight="1" x14ac:dyDescent="0.3">
      <c r="B28" s="62"/>
      <c r="C28" s="63"/>
      <c r="D28" s="4"/>
      <c r="E28" s="216">
        <v>21.9</v>
      </c>
      <c r="F28" s="214">
        <v>37.5</v>
      </c>
      <c r="G28" s="214">
        <v>25.5</v>
      </c>
      <c r="H28" s="214">
        <v>25.5</v>
      </c>
      <c r="I28" s="216">
        <v>9.5</v>
      </c>
      <c r="J28" s="217">
        <v>40</v>
      </c>
      <c r="K28" s="78"/>
      <c r="L28" s="77"/>
      <c r="N28" s="32"/>
      <c r="P28" s="60"/>
      <c r="Q28" s="61"/>
    </row>
    <row r="29" spans="1:17" ht="3" customHeight="1" thickBot="1" x14ac:dyDescent="0.35">
      <c r="B29" s="79"/>
      <c r="C29" s="80"/>
      <c r="D29" s="81"/>
      <c r="E29" s="33"/>
      <c r="F29" s="33"/>
      <c r="G29" s="33"/>
      <c r="H29" s="5"/>
      <c r="I29" s="8"/>
      <c r="J29" s="82"/>
      <c r="K29" s="33"/>
      <c r="L29" s="83"/>
      <c r="M29" s="62"/>
      <c r="N29" s="32"/>
      <c r="P29" s="60">
        <v>50</v>
      </c>
      <c r="Q29" s="61">
        <v>0.17100000000000001</v>
      </c>
    </row>
    <row r="30" spans="1:17" ht="3" customHeight="1" x14ac:dyDescent="0.35">
      <c r="B30" s="32"/>
      <c r="C30" s="84"/>
      <c r="E30" s="21"/>
      <c r="F30" s="65"/>
      <c r="G30" s="65"/>
      <c r="H30" s="22"/>
      <c r="I30" s="23"/>
      <c r="J30" s="65"/>
      <c r="K30" s="32"/>
      <c r="L30" s="32"/>
      <c r="M30" s="32"/>
      <c r="N30" s="32"/>
      <c r="P30" s="60"/>
      <c r="Q30" s="61"/>
    </row>
    <row r="31" spans="1:17" ht="3" customHeight="1" thickBot="1" x14ac:dyDescent="0.3">
      <c r="P31" s="25">
        <v>60</v>
      </c>
      <c r="Q31" s="85">
        <v>0</v>
      </c>
    </row>
    <row r="32" spans="1:17" ht="12.75" customHeight="1" thickBot="1" x14ac:dyDescent="0.3">
      <c r="B32" s="86" t="s">
        <v>73</v>
      </c>
      <c r="C32" s="87"/>
      <c r="D32" s="88"/>
      <c r="E32" s="89"/>
      <c r="F32" s="89"/>
      <c r="G32" s="89"/>
      <c r="H32" s="89"/>
      <c r="I32" s="89"/>
      <c r="J32" s="89"/>
      <c r="K32" s="89"/>
      <c r="L32" s="90"/>
      <c r="P32" s="31"/>
      <c r="Q32" s="1"/>
    </row>
    <row r="33" spans="1:17" ht="20.100000000000001" customHeight="1" x14ac:dyDescent="0.25">
      <c r="B33" s="91"/>
      <c r="C33" s="92"/>
      <c r="D33" s="93" t="s">
        <v>6</v>
      </c>
      <c r="E33" s="93" t="s">
        <v>7</v>
      </c>
      <c r="F33" s="94" t="s">
        <v>36</v>
      </c>
      <c r="G33" s="93"/>
      <c r="H33" s="95"/>
      <c r="I33" s="95"/>
      <c r="J33" s="95"/>
      <c r="K33" s="95"/>
      <c r="L33" s="96"/>
      <c r="P33" s="31"/>
      <c r="Q33" s="1"/>
    </row>
    <row r="34" spans="1:17" ht="20.100000000000001" customHeight="1" x14ac:dyDescent="0.3">
      <c r="B34" s="60"/>
      <c r="C34" s="63" t="s">
        <v>64</v>
      </c>
      <c r="D34" s="10">
        <v>430750</v>
      </c>
      <c r="E34" s="222">
        <f>E16*(D7-0.034)</f>
        <v>17.326374000000001</v>
      </c>
      <c r="F34" s="97">
        <f>E34*9.81</f>
        <v>169.97172894000002</v>
      </c>
      <c r="G34" s="28"/>
      <c r="H34" s="32"/>
      <c r="I34" s="32"/>
      <c r="J34" s="3"/>
      <c r="K34" s="65"/>
      <c r="L34" s="61"/>
      <c r="P34" s="31"/>
      <c r="Q34" s="1"/>
    </row>
    <row r="35" spans="1:17" ht="20.100000000000001" customHeight="1" x14ac:dyDescent="0.3">
      <c r="B35" s="342" t="s">
        <v>98</v>
      </c>
      <c r="C35" s="339"/>
      <c r="D35" s="4"/>
      <c r="E35" s="222">
        <f>E17*(D7+0.105)*D8</f>
        <v>125.07250000000001</v>
      </c>
      <c r="F35" s="97">
        <f>E35*9.81</f>
        <v>1226.961225</v>
      </c>
      <c r="G35" s="12"/>
      <c r="H35" s="65"/>
      <c r="I35" s="65"/>
      <c r="J35" s="65"/>
      <c r="K35" s="32"/>
      <c r="L35" s="98"/>
      <c r="P35" s="31"/>
      <c r="Q35" s="1"/>
    </row>
    <row r="36" spans="1:17" ht="20.100000000000001" customHeight="1" x14ac:dyDescent="0.3">
      <c r="B36" s="99"/>
      <c r="C36" s="63" t="s">
        <v>99</v>
      </c>
      <c r="D36" s="15"/>
      <c r="E36" s="222">
        <f>E18*(D7+0.14)*D8*G18</f>
        <v>117.38474999999997</v>
      </c>
      <c r="F36" s="97">
        <f>E36*9.81</f>
        <v>1151.5443974999998</v>
      </c>
      <c r="G36" s="13"/>
      <c r="H36" s="65"/>
      <c r="I36" s="65"/>
      <c r="J36" s="65"/>
      <c r="K36" s="32"/>
      <c r="L36" s="98"/>
      <c r="P36" s="31"/>
      <c r="Q36" s="1"/>
    </row>
    <row r="37" spans="1:17" ht="3" customHeight="1" x14ac:dyDescent="0.3">
      <c r="B37" s="99"/>
      <c r="C37" s="63"/>
      <c r="D37" s="32"/>
      <c r="E37" s="14"/>
      <c r="F37" s="32"/>
      <c r="G37" s="13"/>
      <c r="H37" s="65"/>
      <c r="I37" s="65"/>
      <c r="J37" s="65"/>
      <c r="K37" s="32"/>
      <c r="L37" s="98"/>
      <c r="P37" s="31"/>
      <c r="Q37" s="1"/>
    </row>
    <row r="38" spans="1:17" ht="20.100000000000001" customHeight="1" thickBot="1" x14ac:dyDescent="0.35">
      <c r="A38" s="19"/>
      <c r="B38" s="60"/>
      <c r="C38" s="15" t="s">
        <v>42</v>
      </c>
      <c r="D38" s="11"/>
      <c r="E38" s="222">
        <f>SUM(E34:E36)</f>
        <v>259.78362399999997</v>
      </c>
      <c r="F38" s="100">
        <f>SUM(F34:F36)</f>
        <v>2548.4773514399999</v>
      </c>
      <c r="G38" s="7"/>
      <c r="H38" s="101"/>
      <c r="I38" s="101"/>
      <c r="J38" s="65"/>
      <c r="K38" s="32"/>
      <c r="L38" s="98"/>
      <c r="M38" s="19"/>
      <c r="N38" s="19"/>
      <c r="O38" s="19"/>
      <c r="P38" s="10"/>
      <c r="Q38" s="1"/>
    </row>
    <row r="39" spans="1:17" ht="20.100000000000001" customHeight="1" thickBot="1" x14ac:dyDescent="0.3">
      <c r="A39" s="19"/>
      <c r="B39" s="60"/>
      <c r="C39" s="15" t="s">
        <v>61</v>
      </c>
      <c r="D39" s="11"/>
      <c r="E39" s="14"/>
      <c r="F39" s="102">
        <f>D11/2*F38/TAN(RADIANS(D9))*G10/D10</f>
        <v>8197.8409753874257</v>
      </c>
      <c r="G39" s="27"/>
      <c r="H39" s="26"/>
      <c r="I39" s="103" t="s">
        <v>62</v>
      </c>
      <c r="J39" s="104">
        <f>F$39*SIN(RADIANS(D$9))</f>
        <v>3464.5573030449141</v>
      </c>
      <c r="K39" s="32"/>
      <c r="L39" s="98"/>
      <c r="M39" s="19"/>
      <c r="N39" s="19"/>
      <c r="O39" s="19"/>
      <c r="P39" s="10"/>
      <c r="Q39" s="1"/>
    </row>
    <row r="40" spans="1:17" ht="20.100000000000001" customHeight="1" thickBot="1" x14ac:dyDescent="0.3">
      <c r="A40" s="19"/>
      <c r="B40" s="60"/>
      <c r="C40" s="15"/>
      <c r="D40" s="11"/>
      <c r="E40" s="14"/>
      <c r="F40" s="105"/>
      <c r="H40" s="25"/>
      <c r="I40" s="106" t="s">
        <v>63</v>
      </c>
      <c r="J40" s="107">
        <f>F$39*COS(RADIANS(D$9))</f>
        <v>7429.7671128817492</v>
      </c>
      <c r="K40" s="32"/>
      <c r="L40" s="98"/>
      <c r="M40" s="19"/>
      <c r="N40" s="19"/>
      <c r="O40" s="19"/>
      <c r="P40" s="10"/>
      <c r="Q40" s="1"/>
    </row>
    <row r="41" spans="1:17" ht="3" customHeight="1" thickBot="1" x14ac:dyDescent="0.35">
      <c r="A41" s="19"/>
      <c r="B41" s="25"/>
      <c r="C41" s="108"/>
      <c r="D41" s="16"/>
      <c r="E41" s="17"/>
      <c r="F41" s="18"/>
      <c r="G41" s="18"/>
      <c r="H41" s="101"/>
      <c r="I41" s="101"/>
      <c r="J41" s="101"/>
      <c r="K41" s="109"/>
      <c r="L41" s="27"/>
      <c r="M41" s="19"/>
      <c r="N41" s="19"/>
      <c r="O41" s="19"/>
      <c r="P41" s="10"/>
      <c r="Q41" s="1"/>
    </row>
    <row r="42" spans="1:17" ht="3" customHeight="1" x14ac:dyDescent="0.3">
      <c r="A42" s="19"/>
      <c r="B42" s="32"/>
      <c r="C42" s="63"/>
      <c r="D42" s="11"/>
      <c r="E42" s="9"/>
      <c r="F42" s="7"/>
      <c r="G42" s="7"/>
      <c r="H42" s="65"/>
      <c r="I42" s="65"/>
      <c r="J42" s="65"/>
      <c r="K42" s="32"/>
      <c r="L42" s="32"/>
      <c r="M42" s="19"/>
      <c r="N42" s="19"/>
      <c r="O42" s="19"/>
      <c r="P42" s="10"/>
      <c r="Q42" s="1"/>
    </row>
    <row r="43" spans="1:17" ht="3" customHeight="1" thickBot="1" x14ac:dyDescent="0.35">
      <c r="A43" s="19"/>
      <c r="B43" s="32"/>
      <c r="C43" s="63"/>
      <c r="D43" s="11"/>
      <c r="E43" s="9"/>
      <c r="F43" s="7"/>
      <c r="G43" s="7"/>
      <c r="H43" s="65"/>
      <c r="I43" s="65"/>
      <c r="J43" s="65"/>
      <c r="K43" s="32"/>
      <c r="L43" s="32"/>
      <c r="M43" s="19"/>
      <c r="N43" s="19"/>
      <c r="O43" s="19"/>
      <c r="P43" s="10"/>
      <c r="Q43" s="1"/>
    </row>
    <row r="44" spans="1:17" ht="13.2" thickBot="1" x14ac:dyDescent="0.3">
      <c r="A44" s="19"/>
      <c r="B44" s="110" t="s">
        <v>102</v>
      </c>
      <c r="C44" s="111"/>
      <c r="D44" s="112"/>
      <c r="E44" s="112"/>
      <c r="F44" s="113"/>
      <c r="G44" s="114"/>
      <c r="H44" s="115"/>
      <c r="I44" s="116"/>
      <c r="J44" s="117"/>
      <c r="K44" s="112"/>
      <c r="L44" s="118"/>
      <c r="M44" s="19"/>
      <c r="N44" s="19"/>
      <c r="O44" s="19"/>
      <c r="P44" s="10"/>
      <c r="Q44" s="1"/>
    </row>
    <row r="45" spans="1:17" ht="20.100000000000001" customHeight="1" x14ac:dyDescent="0.25">
      <c r="A45" s="19"/>
      <c r="B45" s="119"/>
      <c r="C45" s="120"/>
      <c r="D45" s="19"/>
      <c r="E45" s="10" t="s">
        <v>37</v>
      </c>
      <c r="F45" s="121" t="s">
        <v>38</v>
      </c>
      <c r="G45" s="28" t="s">
        <v>60</v>
      </c>
      <c r="H45" s="10" t="s">
        <v>41</v>
      </c>
      <c r="I45" s="122"/>
      <c r="J45" s="19"/>
      <c r="K45" s="19"/>
      <c r="L45" s="48"/>
      <c r="M45" s="19"/>
      <c r="N45" s="19"/>
      <c r="O45" s="19"/>
      <c r="P45" s="10"/>
      <c r="Q45" s="1"/>
    </row>
    <row r="46" spans="1:17" ht="20.100000000000001" customHeight="1" x14ac:dyDescent="0.25">
      <c r="A46" s="19"/>
      <c r="B46" s="123"/>
      <c r="C46" s="15" t="s">
        <v>53</v>
      </c>
      <c r="D46" s="124"/>
      <c r="E46" s="125">
        <f>F39/(PI()*H22^2/4)</f>
        <v>104.37815311313548</v>
      </c>
      <c r="F46" s="125">
        <f>E22</f>
        <v>700</v>
      </c>
      <c r="G46" s="126">
        <f>E46/F46*100</f>
        <v>14.911164730447926</v>
      </c>
      <c r="H46" s="127" t="str">
        <f>IF(E46&gt;F46,"oui","non")</f>
        <v>non</v>
      </c>
      <c r="I46" s="120"/>
      <c r="J46" s="19"/>
      <c r="K46" s="19"/>
      <c r="L46" s="48"/>
      <c r="M46" s="124"/>
      <c r="N46" s="128"/>
      <c r="O46" s="19"/>
      <c r="P46" s="10"/>
      <c r="Q46" s="1"/>
    </row>
    <row r="47" spans="1:17" ht="3" customHeight="1" thickBot="1" x14ac:dyDescent="0.3">
      <c r="A47" s="19"/>
      <c r="B47" s="129"/>
      <c r="C47" s="130"/>
      <c r="D47" s="131"/>
      <c r="E47" s="132"/>
      <c r="F47" s="133"/>
      <c r="G47" s="82"/>
      <c r="H47" s="131"/>
      <c r="I47" s="134"/>
      <c r="J47" s="135"/>
      <c r="K47" s="135"/>
      <c r="L47" s="136"/>
      <c r="M47" s="19"/>
      <c r="N47" s="19"/>
      <c r="O47" s="19"/>
      <c r="P47" s="10"/>
      <c r="Q47" s="1"/>
    </row>
    <row r="48" spans="1:17" ht="3" customHeight="1" thickBot="1" x14ac:dyDescent="0.3">
      <c r="A48" s="19"/>
      <c r="B48" s="137"/>
      <c r="C48" s="138"/>
      <c r="D48" s="124"/>
      <c r="E48" s="139"/>
      <c r="F48" s="140"/>
      <c r="G48" s="65"/>
      <c r="H48" s="124"/>
      <c r="I48" s="141"/>
      <c r="J48" s="19"/>
      <c r="K48" s="19"/>
      <c r="L48" s="19"/>
      <c r="M48" s="19"/>
      <c r="N48" s="19"/>
      <c r="O48" s="19"/>
      <c r="P48" s="10"/>
      <c r="Q48" s="1"/>
    </row>
    <row r="49" spans="1:17" ht="12.75" customHeight="1" thickBot="1" x14ac:dyDescent="0.3">
      <c r="A49" s="19"/>
      <c r="B49" s="110" t="s">
        <v>103</v>
      </c>
      <c r="C49" s="111"/>
      <c r="D49" s="112"/>
      <c r="E49" s="112"/>
      <c r="F49" s="142"/>
      <c r="G49" s="143"/>
      <c r="H49" s="115"/>
      <c r="I49" s="116"/>
      <c r="J49" s="117"/>
      <c r="K49" s="112"/>
      <c r="L49" s="118"/>
      <c r="M49" s="19"/>
      <c r="N49" s="19"/>
      <c r="O49" s="19"/>
      <c r="P49" s="10"/>
      <c r="Q49" s="1"/>
    </row>
    <row r="50" spans="1:17" ht="20.100000000000001" customHeight="1" x14ac:dyDescent="0.25">
      <c r="A50" s="19"/>
      <c r="B50" s="119"/>
      <c r="C50" s="120"/>
      <c r="D50" s="19"/>
      <c r="E50" s="10" t="s">
        <v>37</v>
      </c>
      <c r="F50" s="121" t="s">
        <v>38</v>
      </c>
      <c r="G50" s="28" t="s">
        <v>60</v>
      </c>
      <c r="H50" s="10" t="s">
        <v>41</v>
      </c>
      <c r="I50" s="122"/>
      <c r="J50" s="19"/>
      <c r="K50" s="19"/>
      <c r="L50" s="48"/>
      <c r="M50" s="19"/>
      <c r="N50" s="19"/>
      <c r="O50" s="19"/>
      <c r="P50" s="19"/>
    </row>
    <row r="51" spans="1:17" ht="20.100000000000001" customHeight="1" x14ac:dyDescent="0.25">
      <c r="A51" s="19"/>
      <c r="B51" s="123"/>
      <c r="C51" s="15" t="s">
        <v>53</v>
      </c>
      <c r="D51" s="124"/>
      <c r="E51" s="125">
        <f>F39/(PI()*H22^2/4)*1.33*1/2</f>
        <v>69.411471820235093</v>
      </c>
      <c r="F51" s="125">
        <f>G23</f>
        <v>360</v>
      </c>
      <c r="G51" s="126">
        <f>E51/F51*100</f>
        <v>19.280964394509748</v>
      </c>
      <c r="H51" s="127" t="str">
        <f>IF(E51&gt;F51,"oui","non")</f>
        <v>non</v>
      </c>
      <c r="I51" s="120"/>
      <c r="J51" s="19"/>
      <c r="K51" s="19"/>
      <c r="L51" s="48"/>
      <c r="M51" s="19"/>
      <c r="N51" s="19"/>
      <c r="O51" s="19"/>
      <c r="P51" s="19"/>
    </row>
    <row r="52" spans="1:17" ht="3" customHeight="1" thickBot="1" x14ac:dyDescent="0.3">
      <c r="A52" s="19"/>
      <c r="B52" s="129"/>
      <c r="C52" s="130"/>
      <c r="D52" s="131"/>
      <c r="E52" s="132"/>
      <c r="F52" s="133"/>
      <c r="G52" s="82"/>
      <c r="H52" s="131"/>
      <c r="I52" s="134"/>
      <c r="J52" s="135"/>
      <c r="K52" s="135"/>
      <c r="L52" s="136"/>
      <c r="M52" s="19"/>
      <c r="N52" s="19"/>
      <c r="O52" s="19"/>
      <c r="P52" s="19"/>
    </row>
    <row r="53" spans="1:17" ht="3" customHeight="1" thickBot="1" x14ac:dyDescent="0.3">
      <c r="A53" s="19"/>
      <c r="B53" s="144"/>
      <c r="C53" s="145"/>
      <c r="D53" s="124"/>
      <c r="E53" s="32"/>
      <c r="F53" s="146"/>
      <c r="G53" s="140"/>
      <c r="H53" s="147"/>
      <c r="I53" s="148"/>
      <c r="J53" s="19"/>
      <c r="K53" s="19"/>
      <c r="L53" s="149"/>
      <c r="M53" s="19"/>
      <c r="N53" s="19"/>
      <c r="O53" s="19"/>
      <c r="P53" s="19"/>
    </row>
    <row r="54" spans="1:17" ht="12.75" customHeight="1" thickBot="1" x14ac:dyDescent="0.3">
      <c r="A54" s="19"/>
      <c r="B54" s="110" t="s">
        <v>104</v>
      </c>
      <c r="C54" s="111"/>
      <c r="D54" s="112"/>
      <c r="E54" s="112"/>
      <c r="F54" s="142"/>
      <c r="G54" s="143"/>
      <c r="H54" s="115"/>
      <c r="I54" s="116"/>
      <c r="J54" s="117"/>
      <c r="K54" s="112"/>
      <c r="L54" s="118"/>
      <c r="M54" s="19"/>
      <c r="N54" s="19"/>
      <c r="O54" s="19"/>
      <c r="P54" s="19"/>
    </row>
    <row r="55" spans="1:17" ht="20.100000000000001" customHeight="1" x14ac:dyDescent="0.25">
      <c r="A55" s="19"/>
      <c r="B55" s="150" t="s">
        <v>54</v>
      </c>
      <c r="C55" s="120"/>
      <c r="D55" s="19"/>
      <c r="E55" s="10" t="s">
        <v>37</v>
      </c>
      <c r="F55" s="121" t="s">
        <v>38</v>
      </c>
      <c r="G55" s="28" t="s">
        <v>60</v>
      </c>
      <c r="H55" s="10" t="s">
        <v>41</v>
      </c>
      <c r="I55" s="122"/>
      <c r="J55" s="19"/>
      <c r="K55" s="19"/>
      <c r="L55" s="48"/>
      <c r="M55" s="19"/>
      <c r="N55" s="19"/>
      <c r="O55" s="19"/>
      <c r="P55" s="19"/>
    </row>
    <row r="56" spans="1:17" ht="20.100000000000001" customHeight="1" x14ac:dyDescent="0.25">
      <c r="A56" s="19"/>
      <c r="B56" s="151"/>
      <c r="C56" s="152" t="s">
        <v>57</v>
      </c>
      <c r="D56" s="19"/>
      <c r="E56" s="100">
        <f>(G$28/(2*F$28)*COS(RADIANS(D$9))-1/2*SIN(RADIANS(D$9)))*F$39</f>
        <v>793.84216685733827</v>
      </c>
      <c r="F56" s="121"/>
      <c r="G56" s="28"/>
      <c r="H56" s="10"/>
      <c r="I56" s="122"/>
      <c r="J56" s="19"/>
      <c r="K56" s="19"/>
      <c r="L56" s="48"/>
      <c r="M56" s="19"/>
      <c r="N56" s="19"/>
      <c r="O56" s="19"/>
      <c r="P56" s="19"/>
    </row>
    <row r="57" spans="1:17" ht="20.100000000000001" customHeight="1" x14ac:dyDescent="0.25">
      <c r="A57" s="19"/>
      <c r="B57" s="123"/>
      <c r="C57" s="63" t="s">
        <v>39</v>
      </c>
      <c r="D57" s="11"/>
      <c r="E57" s="30">
        <f>E56/(PI()*H$24^2/4)</f>
        <v>15.792988111265819</v>
      </c>
      <c r="F57" s="125">
        <f>E$24</f>
        <v>700</v>
      </c>
      <c r="G57" s="126">
        <f>E57/F57*100</f>
        <v>2.2561411587522602</v>
      </c>
      <c r="H57" s="127" t="str">
        <f>IF(E57&gt;F57,"oui","non")</f>
        <v>non</v>
      </c>
      <c r="I57" s="19"/>
      <c r="J57" s="19"/>
      <c r="K57" s="19"/>
      <c r="L57" s="48"/>
      <c r="M57" s="19"/>
      <c r="N57" s="19"/>
      <c r="O57" s="19"/>
      <c r="P57" s="19"/>
    </row>
    <row r="58" spans="1:17" ht="20.100000000000001" customHeight="1" x14ac:dyDescent="0.25">
      <c r="A58" s="19"/>
      <c r="B58" s="123"/>
      <c r="C58" s="153" t="s">
        <v>58</v>
      </c>
      <c r="D58" s="11"/>
      <c r="E58" s="24">
        <v>0</v>
      </c>
      <c r="F58" s="154"/>
      <c r="G58" s="28"/>
      <c r="H58" s="127"/>
      <c r="I58" s="19"/>
      <c r="J58" s="19"/>
      <c r="K58" s="19"/>
      <c r="L58" s="48"/>
      <c r="M58" s="19"/>
      <c r="N58" s="19"/>
      <c r="O58" s="19"/>
      <c r="P58" s="19"/>
    </row>
    <row r="59" spans="1:17" ht="20.100000000000001" customHeight="1" x14ac:dyDescent="0.25">
      <c r="A59" s="19"/>
      <c r="B59" s="123"/>
      <c r="C59" s="63" t="s">
        <v>40</v>
      </c>
      <c r="D59" s="19"/>
      <c r="E59" s="125">
        <f>E58/(PI()*H$24^2/4)*1.33</f>
        <v>0</v>
      </c>
      <c r="F59" s="125">
        <f>G$24</f>
        <v>360</v>
      </c>
      <c r="G59" s="126">
        <f>E59/F59*100</f>
        <v>0</v>
      </c>
      <c r="H59" s="127" t="str">
        <f>IF(E59&gt;F59,"oui","non")</f>
        <v>non</v>
      </c>
      <c r="I59" s="120"/>
      <c r="J59" s="19"/>
      <c r="K59" s="19"/>
      <c r="L59" s="48"/>
      <c r="M59" s="19"/>
      <c r="N59" s="19"/>
      <c r="O59" s="19"/>
      <c r="P59" s="19"/>
    </row>
    <row r="60" spans="1:17" ht="3" customHeight="1" x14ac:dyDescent="0.25">
      <c r="A60" s="19"/>
      <c r="B60" s="123"/>
      <c r="C60" s="63"/>
      <c r="D60" s="124"/>
      <c r="E60" s="154"/>
      <c r="F60" s="154"/>
      <c r="G60" s="10"/>
      <c r="H60" s="127"/>
      <c r="I60" s="120"/>
      <c r="J60" s="19"/>
      <c r="K60" s="19"/>
      <c r="L60" s="48"/>
      <c r="M60" s="19"/>
      <c r="N60" s="19"/>
      <c r="O60" s="19"/>
      <c r="P60" s="19"/>
    </row>
    <row r="61" spans="1:17" ht="20.100000000000001" customHeight="1" x14ac:dyDescent="0.3">
      <c r="A61" s="19"/>
      <c r="B61" s="155"/>
      <c r="C61" s="15" t="s">
        <v>55</v>
      </c>
      <c r="D61" s="120"/>
      <c r="E61" s="125">
        <f>SQRT(E57^2+3*E59^2)</f>
        <v>15.792988111265819</v>
      </c>
      <c r="F61" s="125">
        <f>F$24*0.9</f>
        <v>405</v>
      </c>
      <c r="G61" s="126">
        <f>E61/F61*100</f>
        <v>3.899503237349585</v>
      </c>
      <c r="H61" s="127" t="str">
        <f>IF(E61&gt;F61,"oui","non")</f>
        <v>non</v>
      </c>
      <c r="I61" s="19"/>
      <c r="J61" s="19"/>
      <c r="K61" s="19"/>
      <c r="L61" s="48"/>
      <c r="M61" s="19"/>
      <c r="N61" s="19"/>
      <c r="O61" s="19"/>
      <c r="P61" s="19"/>
    </row>
    <row r="62" spans="1:17" ht="3" customHeight="1" x14ac:dyDescent="0.3">
      <c r="A62" s="19"/>
      <c r="B62" s="155"/>
      <c r="C62" s="15"/>
      <c r="D62" s="120"/>
      <c r="E62" s="156"/>
      <c r="F62" s="156"/>
      <c r="G62" s="10"/>
      <c r="H62" s="157"/>
      <c r="I62" s="19"/>
      <c r="J62" s="19"/>
      <c r="K62" s="19"/>
      <c r="L62" s="48"/>
      <c r="M62" s="19"/>
      <c r="N62" s="19"/>
      <c r="O62" s="19"/>
      <c r="P62" s="19"/>
    </row>
    <row r="63" spans="1:17" ht="20.100000000000001" customHeight="1" x14ac:dyDescent="0.25">
      <c r="A63" s="19"/>
      <c r="B63" s="150" t="s">
        <v>56</v>
      </c>
      <c r="C63" s="124"/>
      <c r="D63" s="19"/>
      <c r="E63" s="10" t="s">
        <v>37</v>
      </c>
      <c r="F63" s="121" t="s">
        <v>38</v>
      </c>
      <c r="G63" s="28" t="s">
        <v>60</v>
      </c>
      <c r="H63" s="10" t="s">
        <v>41</v>
      </c>
      <c r="I63" s="141"/>
      <c r="J63" s="19"/>
      <c r="K63" s="19"/>
      <c r="L63" s="48"/>
      <c r="M63" s="19"/>
      <c r="N63" s="19"/>
      <c r="O63" s="19"/>
      <c r="P63" s="19"/>
    </row>
    <row r="64" spans="1:17" ht="20.100000000000001" customHeight="1" x14ac:dyDescent="0.25">
      <c r="A64" s="19"/>
      <c r="B64" s="151"/>
      <c r="C64" s="152" t="s">
        <v>57</v>
      </c>
      <c r="D64" s="19"/>
      <c r="E64" s="100">
        <f>ABS(-G$28/(2*F$28)*COS(RADIANS(D$9))-1/2*SIN(RADIANS(D$9)))*F$39</f>
        <v>4258.3994699022523</v>
      </c>
      <c r="F64" s="121"/>
      <c r="G64" s="28"/>
      <c r="H64" s="10"/>
      <c r="I64" s="141"/>
      <c r="J64" s="19"/>
      <c r="K64" s="19"/>
      <c r="L64" s="48"/>
      <c r="M64" s="19"/>
      <c r="N64" s="19"/>
      <c r="O64" s="19"/>
      <c r="P64" s="19"/>
    </row>
    <row r="65" spans="1:16" ht="20.100000000000001" customHeight="1" x14ac:dyDescent="0.25">
      <c r="A65" s="19"/>
      <c r="B65" s="123"/>
      <c r="C65" s="63" t="s">
        <v>39</v>
      </c>
      <c r="D65" s="11"/>
      <c r="E65" s="30">
        <f>E64/(PI()*H$24^2/4)</f>
        <v>84.71816566185629</v>
      </c>
      <c r="F65" s="125">
        <f>E$24</f>
        <v>700</v>
      </c>
      <c r="G65" s="126">
        <f>E65/F65*100</f>
        <v>12.102595094550898</v>
      </c>
      <c r="H65" s="127" t="str">
        <f>IF(E65&gt;F65,"oui","non")</f>
        <v>non</v>
      </c>
      <c r="I65" s="158"/>
      <c r="J65" s="19"/>
      <c r="K65" s="19"/>
      <c r="L65" s="48"/>
      <c r="M65" s="19"/>
      <c r="N65" s="19"/>
      <c r="O65" s="19"/>
      <c r="P65" s="19"/>
    </row>
    <row r="66" spans="1:16" ht="20.100000000000001" customHeight="1" x14ac:dyDescent="0.25">
      <c r="A66" s="19"/>
      <c r="B66" s="123"/>
      <c r="C66" s="153" t="s">
        <v>58</v>
      </c>
      <c r="D66" s="11"/>
      <c r="E66" s="24">
        <f>COS(RADIANS(D9))*F39</f>
        <v>7429.7671128817492</v>
      </c>
      <c r="F66" s="154"/>
      <c r="G66" s="28"/>
      <c r="H66" s="127"/>
      <c r="I66" s="159"/>
      <c r="J66" s="19"/>
      <c r="K66" s="19"/>
      <c r="L66" s="48"/>
      <c r="M66" s="19"/>
      <c r="N66" s="19"/>
      <c r="O66" s="19"/>
      <c r="P66" s="19"/>
    </row>
    <row r="67" spans="1:16" ht="20.100000000000001" customHeight="1" x14ac:dyDescent="0.25">
      <c r="A67" s="19"/>
      <c r="B67" s="123"/>
      <c r="C67" s="63" t="s">
        <v>40</v>
      </c>
      <c r="D67" s="19"/>
      <c r="E67" s="125">
        <f>E66/(PI()*H$24^2/4)*1.33</f>
        <v>196.58799193860642</v>
      </c>
      <c r="F67" s="125">
        <f>G$24</f>
        <v>360</v>
      </c>
      <c r="G67" s="126">
        <f>E67/F67*100</f>
        <v>54.607775538501777</v>
      </c>
      <c r="H67" s="127" t="str">
        <f>IF(E67&gt;F67,"oui","non")</f>
        <v>non</v>
      </c>
      <c r="I67" s="159"/>
      <c r="J67" s="19"/>
      <c r="K67" s="19"/>
      <c r="L67" s="48"/>
      <c r="M67" s="19"/>
      <c r="N67" s="19"/>
      <c r="O67" s="19"/>
      <c r="P67" s="19"/>
    </row>
    <row r="68" spans="1:16" ht="3" customHeight="1" x14ac:dyDescent="0.25">
      <c r="A68" s="19"/>
      <c r="B68" s="123"/>
      <c r="C68" s="63"/>
      <c r="D68" s="124"/>
      <c r="E68" s="154"/>
      <c r="F68" s="154"/>
      <c r="G68" s="10"/>
      <c r="H68" s="127"/>
      <c r="I68" s="159"/>
      <c r="J68" s="19"/>
      <c r="K68" s="19"/>
      <c r="L68" s="48"/>
      <c r="M68" s="19"/>
      <c r="N68" s="19"/>
      <c r="O68" s="19"/>
      <c r="P68" s="19"/>
    </row>
    <row r="69" spans="1:16" ht="20.100000000000001" customHeight="1" x14ac:dyDescent="0.3">
      <c r="A69" s="19"/>
      <c r="B69" s="155"/>
      <c r="C69" s="15" t="s">
        <v>59</v>
      </c>
      <c r="D69" s="120"/>
      <c r="E69" s="125">
        <f>SQRT(E65^2+3*E67^2)</f>
        <v>350.88129519321842</v>
      </c>
      <c r="F69" s="125">
        <f>F$24*0.9</f>
        <v>405</v>
      </c>
      <c r="G69" s="126">
        <f>E69/F69*100</f>
        <v>86.637356837831717</v>
      </c>
      <c r="H69" s="127" t="str">
        <f>IF(E69&gt;F69,"oui","non")</f>
        <v>non</v>
      </c>
      <c r="I69" s="159"/>
      <c r="J69" s="19"/>
      <c r="K69" s="19"/>
      <c r="L69" s="19"/>
      <c r="M69" s="43"/>
      <c r="N69" s="19"/>
      <c r="O69" s="19"/>
      <c r="P69" s="19"/>
    </row>
    <row r="70" spans="1:16" ht="3" customHeight="1" thickBot="1" x14ac:dyDescent="0.3">
      <c r="A70" s="19"/>
      <c r="B70" s="129"/>
      <c r="C70" s="130"/>
      <c r="D70" s="131"/>
      <c r="E70" s="132"/>
      <c r="F70" s="133"/>
      <c r="G70" s="33"/>
      <c r="H70" s="131"/>
      <c r="I70" s="160"/>
      <c r="J70" s="135"/>
      <c r="K70" s="135"/>
      <c r="L70" s="135"/>
      <c r="M70" s="43"/>
      <c r="N70" s="19"/>
      <c r="O70" s="19"/>
      <c r="P70" s="19"/>
    </row>
    <row r="71" spans="1:16" ht="3" customHeight="1" thickBot="1" x14ac:dyDescent="0.3">
      <c r="A71" s="19"/>
      <c r="B71" s="161"/>
      <c r="C71" s="138"/>
      <c r="D71" s="124"/>
      <c r="E71" s="139"/>
      <c r="F71" s="140"/>
      <c r="G71" s="19"/>
      <c r="H71" s="124"/>
      <c r="I71" s="159"/>
      <c r="J71" s="19"/>
      <c r="K71" s="19"/>
      <c r="L71" s="19"/>
      <c r="M71" s="19"/>
      <c r="N71" s="19"/>
      <c r="O71" s="19"/>
      <c r="P71" s="19"/>
    </row>
    <row r="72" spans="1:16" ht="13.2" thickBot="1" x14ac:dyDescent="0.3">
      <c r="A72" s="19"/>
      <c r="B72" s="110" t="s">
        <v>105</v>
      </c>
      <c r="C72" s="111"/>
      <c r="D72" s="112"/>
      <c r="E72" s="112"/>
      <c r="F72" s="142"/>
      <c r="G72" s="114"/>
      <c r="H72" s="115"/>
      <c r="I72" s="116"/>
      <c r="J72" s="117"/>
      <c r="K72" s="112"/>
      <c r="L72" s="118"/>
      <c r="M72" s="19"/>
      <c r="N72" s="19"/>
      <c r="O72" s="19"/>
      <c r="P72" s="19"/>
    </row>
    <row r="73" spans="1:16" ht="3" hidden="1" customHeight="1" x14ac:dyDescent="0.25">
      <c r="A73" s="19"/>
      <c r="B73" s="123"/>
      <c r="C73" s="63"/>
      <c r="D73" s="11"/>
      <c r="E73" s="30"/>
      <c r="F73" s="125"/>
      <c r="G73" s="126"/>
      <c r="H73" s="127"/>
      <c r="I73" s="19"/>
      <c r="J73" s="19"/>
      <c r="K73" s="19"/>
      <c r="L73" s="48"/>
      <c r="M73" s="19"/>
      <c r="N73" s="19"/>
      <c r="O73" s="19"/>
      <c r="P73" s="19"/>
    </row>
    <row r="74" spans="1:16" ht="20.100000000000001" customHeight="1" x14ac:dyDescent="0.25">
      <c r="A74" s="19"/>
      <c r="B74" s="162" t="s">
        <v>65</v>
      </c>
      <c r="C74" s="63"/>
      <c r="D74" s="11"/>
      <c r="E74" s="10" t="s">
        <v>37</v>
      </c>
      <c r="F74" s="121" t="s">
        <v>38</v>
      </c>
      <c r="G74" s="28" t="s">
        <v>60</v>
      </c>
      <c r="H74" s="10" t="s">
        <v>41</v>
      </c>
      <c r="I74" s="19"/>
      <c r="J74" s="19"/>
      <c r="K74" s="19"/>
      <c r="L74" s="48"/>
      <c r="M74" s="19"/>
      <c r="N74" s="19"/>
      <c r="O74" s="19"/>
      <c r="P74" s="19"/>
    </row>
    <row r="75" spans="1:16" ht="20.100000000000001" customHeight="1" x14ac:dyDescent="0.25">
      <c r="A75" s="19"/>
      <c r="B75" s="123"/>
      <c r="C75" s="63" t="s">
        <v>39</v>
      </c>
      <c r="D75" s="19"/>
      <c r="E75" s="125">
        <f>1/(2*E28*I28)*COS(RADIANS(D$9))*F39*1.5</f>
        <v>26.783587285082014</v>
      </c>
      <c r="F75" s="125">
        <f>G26</f>
        <v>150</v>
      </c>
      <c r="G75" s="126">
        <f>E75/F75*100</f>
        <v>17.855724856721341</v>
      </c>
      <c r="H75" s="127" t="str">
        <f>IF(E75&gt;F75,"oui","non")</f>
        <v>non</v>
      </c>
      <c r="I75" s="120"/>
      <c r="J75" s="19"/>
      <c r="K75" s="19"/>
      <c r="L75" s="48"/>
      <c r="M75" s="19"/>
      <c r="N75" s="19"/>
      <c r="O75" s="19"/>
      <c r="P75" s="19"/>
    </row>
    <row r="76" spans="1:16" ht="20.100000000000001" customHeight="1" x14ac:dyDescent="0.25">
      <c r="A76" s="19"/>
      <c r="B76" s="123"/>
      <c r="C76" s="63" t="s">
        <v>40</v>
      </c>
      <c r="D76" s="19"/>
      <c r="E76" s="125">
        <f>1/(2*E28*I28)*SIN(RADIANS(D$9))*F39</f>
        <v>8.3262612425977274</v>
      </c>
      <c r="F76" s="125">
        <f>E26</f>
        <v>300</v>
      </c>
      <c r="G76" s="126">
        <f>E76/F76*100</f>
        <v>2.7754204141992425</v>
      </c>
      <c r="H76" s="127" t="str">
        <f>IF(E76&gt;F76,"oui","non")</f>
        <v>non</v>
      </c>
      <c r="I76" s="120"/>
      <c r="J76" s="19"/>
      <c r="K76" s="19"/>
      <c r="L76" s="48"/>
      <c r="M76" s="19"/>
      <c r="N76" s="19"/>
      <c r="O76" s="19"/>
      <c r="P76" s="19"/>
    </row>
    <row r="77" spans="1:16" ht="20.100000000000001" customHeight="1" x14ac:dyDescent="0.25">
      <c r="A77" s="19"/>
      <c r="B77" s="123"/>
      <c r="C77" s="63" t="s">
        <v>67</v>
      </c>
      <c r="D77" s="120"/>
      <c r="E77" s="125">
        <f>SQRT(3*E$75^2+E$76^2)</f>
        <v>47.131818019813387</v>
      </c>
      <c r="F77" s="125">
        <f>F26*0.9</f>
        <v>180</v>
      </c>
      <c r="G77" s="126">
        <f>E77/F77*100</f>
        <v>26.184343344340771</v>
      </c>
      <c r="H77" s="127" t="str">
        <f>IF(E77&gt;F77,"oui","non")</f>
        <v>non</v>
      </c>
      <c r="I77" s="120"/>
      <c r="J77" s="19"/>
      <c r="K77" s="19"/>
      <c r="L77" s="48"/>
      <c r="M77" s="19"/>
      <c r="N77" s="19"/>
      <c r="O77" s="19"/>
      <c r="P77" s="19"/>
    </row>
    <row r="78" spans="1:16" ht="3" customHeight="1" x14ac:dyDescent="0.25">
      <c r="A78" s="19"/>
      <c r="B78" s="123"/>
      <c r="C78" s="63"/>
      <c r="D78" s="120"/>
      <c r="E78" s="125"/>
      <c r="F78" s="125"/>
      <c r="G78" s="126"/>
      <c r="H78" s="127"/>
      <c r="I78" s="120"/>
      <c r="J78" s="19"/>
      <c r="K78" s="19"/>
      <c r="L78" s="48"/>
      <c r="M78" s="19"/>
      <c r="N78" s="19"/>
      <c r="O78" s="19"/>
      <c r="P78" s="19"/>
    </row>
    <row r="79" spans="1:16" ht="20.100000000000001" customHeight="1" x14ac:dyDescent="0.25">
      <c r="A79" s="19"/>
      <c r="B79" s="162" t="s">
        <v>66</v>
      </c>
      <c r="C79" s="120"/>
      <c r="D79" s="19"/>
      <c r="E79" s="10" t="s">
        <v>37</v>
      </c>
      <c r="F79" s="121" t="s">
        <v>38</v>
      </c>
      <c r="G79" s="28" t="s">
        <v>60</v>
      </c>
      <c r="H79" s="10" t="s">
        <v>41</v>
      </c>
      <c r="I79" s="122"/>
      <c r="J79" s="19"/>
      <c r="K79" s="19"/>
      <c r="L79" s="48"/>
      <c r="M79" s="19"/>
      <c r="N79" s="19"/>
      <c r="O79" s="19"/>
      <c r="P79" s="19"/>
    </row>
    <row r="80" spans="1:16" ht="20.100000000000001" customHeight="1" x14ac:dyDescent="0.25">
      <c r="B80" s="123"/>
      <c r="C80" s="63" t="s">
        <v>39</v>
      </c>
      <c r="D80" s="11"/>
      <c r="E80" s="30">
        <f>(1/(2*E28*I28)*(3*G28/E28*COS(RADIANS(D$9))+SIN(RADIANS(D$9)))*F39)</f>
        <v>70.698998755802421</v>
      </c>
      <c r="F80" s="125">
        <f>E26</f>
        <v>300</v>
      </c>
      <c r="G80" s="126">
        <f>E80/F80*100</f>
        <v>23.566332918600807</v>
      </c>
      <c r="H80" s="127" t="str">
        <f>IF(E80&gt;F80,"oui","non")</f>
        <v>non</v>
      </c>
      <c r="I80" s="19"/>
      <c r="J80" s="19"/>
      <c r="K80" s="19"/>
      <c r="L80" s="48"/>
    </row>
    <row r="81" spans="2:12" ht="20.100000000000001" customHeight="1" x14ac:dyDescent="0.25">
      <c r="B81" s="123"/>
      <c r="C81" s="63" t="s">
        <v>40</v>
      </c>
      <c r="D81" s="19"/>
      <c r="E81" s="125">
        <f>6*E64*(F28-E28)/(J28*H28^2)+E66/(J28*H28)</f>
        <v>22.608429517929086</v>
      </c>
      <c r="F81" s="125">
        <f>E26</f>
        <v>300</v>
      </c>
      <c r="G81" s="126">
        <f>E81/F81*100</f>
        <v>7.5361431726430279</v>
      </c>
      <c r="H81" s="127" t="str">
        <f>IF(E81&gt;F81,"oui","non")</f>
        <v>non</v>
      </c>
      <c r="I81" s="19"/>
      <c r="J81" s="19"/>
      <c r="K81" s="19"/>
      <c r="L81" s="48"/>
    </row>
    <row r="82" spans="2:12" ht="20.100000000000001" customHeight="1" x14ac:dyDescent="0.25">
      <c r="B82" s="123"/>
      <c r="C82" s="63" t="s">
        <v>67</v>
      </c>
      <c r="D82" s="120"/>
      <c r="E82" s="125">
        <f>SQRT(E$80^2+E$81^2)</f>
        <v>74.225935563926171</v>
      </c>
      <c r="F82" s="125">
        <f>F26*0.9</f>
        <v>180</v>
      </c>
      <c r="G82" s="126">
        <f>E82/F82*100</f>
        <v>41.236630868847875</v>
      </c>
      <c r="H82" s="127" t="str">
        <f>IF(E82&gt;F82,"oui","non")</f>
        <v>non</v>
      </c>
      <c r="I82" s="19"/>
      <c r="J82" s="19"/>
      <c r="K82" s="19"/>
      <c r="L82" s="48"/>
    </row>
    <row r="83" spans="2:12" ht="3" customHeight="1" x14ac:dyDescent="0.25">
      <c r="B83" s="123"/>
      <c r="C83" s="63"/>
      <c r="D83" s="120"/>
      <c r="E83" s="125"/>
      <c r="F83" s="125"/>
      <c r="G83" s="126"/>
      <c r="H83" s="127"/>
      <c r="I83" s="19"/>
      <c r="J83" s="19"/>
      <c r="K83" s="19"/>
      <c r="L83" s="48"/>
    </row>
    <row r="84" spans="2:12" ht="20.100000000000001" customHeight="1" x14ac:dyDescent="0.25">
      <c r="B84" s="162" t="s">
        <v>68</v>
      </c>
      <c r="C84" s="63"/>
      <c r="D84" s="11"/>
      <c r="E84" s="10" t="s">
        <v>37</v>
      </c>
      <c r="F84" s="121" t="s">
        <v>38</v>
      </c>
      <c r="G84" s="28" t="s">
        <v>60</v>
      </c>
      <c r="H84" s="10" t="s">
        <v>41</v>
      </c>
      <c r="I84" s="19"/>
      <c r="J84" s="19"/>
      <c r="K84" s="19"/>
      <c r="L84" s="48"/>
    </row>
    <row r="85" spans="2:12" ht="20.100000000000001" customHeight="1" x14ac:dyDescent="0.25">
      <c r="B85" s="123"/>
      <c r="C85" s="63" t="s">
        <v>39</v>
      </c>
      <c r="D85" s="19"/>
      <c r="E85" s="125">
        <f>E64/(J28*H28)*1.5</f>
        <v>6.2623521616209601</v>
      </c>
      <c r="F85" s="125">
        <f>$F$75</f>
        <v>150</v>
      </c>
      <c r="G85" s="126">
        <f>E85/F85*100</f>
        <v>4.1749014410806407</v>
      </c>
      <c r="H85" s="127" t="str">
        <f>IF(E85&gt;F85,"oui","non")</f>
        <v>non</v>
      </c>
      <c r="I85" s="120"/>
      <c r="J85" s="19"/>
      <c r="K85" s="19"/>
      <c r="L85" s="48"/>
    </row>
    <row r="86" spans="2:12" ht="20.100000000000001" customHeight="1" x14ac:dyDescent="0.25">
      <c r="B86" s="123"/>
      <c r="C86" s="63" t="s">
        <v>40</v>
      </c>
      <c r="D86" s="19"/>
      <c r="E86" s="125">
        <f>E66/(H28*J28)</f>
        <v>7.2840854047860288</v>
      </c>
      <c r="F86" s="125">
        <f>$F$76</f>
        <v>300</v>
      </c>
      <c r="G86" s="126">
        <f>E86/F86*100</f>
        <v>2.4280284682620095</v>
      </c>
      <c r="H86" s="127" t="str">
        <f>IF(E86&gt;F86,"oui","non")</f>
        <v>non</v>
      </c>
      <c r="I86" s="120"/>
      <c r="J86" s="19"/>
      <c r="K86" s="19"/>
      <c r="L86" s="48"/>
    </row>
    <row r="87" spans="2:12" ht="20.100000000000001" customHeight="1" x14ac:dyDescent="0.25">
      <c r="B87" s="123"/>
      <c r="C87" s="63" t="s">
        <v>67</v>
      </c>
      <c r="D87" s="120"/>
      <c r="E87" s="125">
        <f>SQRT(3*E85^2+E86^2)</f>
        <v>13.06556787792605</v>
      </c>
      <c r="F87" s="125">
        <f>$F$77</f>
        <v>180</v>
      </c>
      <c r="G87" s="126">
        <f>E87/F87*100</f>
        <v>7.258648821070028</v>
      </c>
      <c r="H87" s="127" t="str">
        <f>IF(E87&gt;F87,"oui","non")</f>
        <v>non</v>
      </c>
      <c r="I87" s="120"/>
      <c r="J87" s="19"/>
      <c r="K87" s="19"/>
      <c r="L87" s="48"/>
    </row>
    <row r="88" spans="2:12" ht="3" customHeight="1" thickBot="1" x14ac:dyDescent="0.3">
      <c r="B88" s="129"/>
      <c r="C88" s="130"/>
      <c r="D88" s="131"/>
      <c r="E88" s="132"/>
      <c r="F88" s="133"/>
      <c r="G88" s="33"/>
      <c r="H88" s="131"/>
      <c r="I88" s="134"/>
      <c r="J88" s="135"/>
      <c r="K88" s="135"/>
      <c r="L88" s="136"/>
    </row>
    <row r="89" spans="2:12" ht="20.100000000000001" customHeight="1" x14ac:dyDescent="0.25">
      <c r="B89" s="163"/>
      <c r="C89" s="124"/>
      <c r="D89" s="159"/>
      <c r="E89" s="164"/>
      <c r="F89" s="140"/>
      <c r="G89" s="165"/>
      <c r="H89" s="159"/>
      <c r="I89" s="159"/>
      <c r="J89" s="19"/>
      <c r="K89" s="19"/>
      <c r="L89" s="19"/>
    </row>
    <row r="90" spans="2:12" x14ac:dyDescent="0.25">
      <c r="B90" s="166"/>
      <c r="C90" s="124"/>
      <c r="D90" s="159"/>
      <c r="E90" s="164"/>
      <c r="F90" s="140"/>
      <c r="G90" s="165"/>
      <c r="H90" s="159"/>
      <c r="I90" s="159"/>
      <c r="J90" s="19"/>
      <c r="K90" s="19"/>
      <c r="L90" s="19"/>
    </row>
    <row r="91" spans="2:12" x14ac:dyDescent="0.25">
      <c r="B91" s="166"/>
      <c r="C91" s="124"/>
      <c r="D91" s="159"/>
      <c r="E91" s="159"/>
      <c r="F91" s="159"/>
      <c r="G91" s="159"/>
      <c r="H91" s="159"/>
      <c r="I91" s="159"/>
      <c r="J91" s="19"/>
      <c r="K91" s="19"/>
      <c r="L91" s="19"/>
    </row>
    <row r="92" spans="2:12" x14ac:dyDescent="0.25">
      <c r="B92" s="166"/>
      <c r="C92" s="124"/>
      <c r="D92" s="167"/>
      <c r="E92" s="159"/>
      <c r="F92" s="167"/>
      <c r="G92" s="159"/>
      <c r="H92" s="167"/>
      <c r="I92" s="159"/>
      <c r="J92" s="19"/>
      <c r="K92" s="19"/>
      <c r="L92" s="19"/>
    </row>
    <row r="93" spans="2:12" x14ac:dyDescent="0.25">
      <c r="B93" s="166"/>
      <c r="C93" s="124"/>
      <c r="D93" s="159"/>
      <c r="E93" s="159"/>
      <c r="F93" s="159"/>
      <c r="G93" s="159"/>
      <c r="H93" s="159"/>
      <c r="I93" s="159"/>
      <c r="J93" s="19"/>
      <c r="K93" s="19"/>
      <c r="L93" s="19"/>
    </row>
    <row r="94" spans="2:12" x14ac:dyDescent="0.25">
      <c r="B94" s="163"/>
      <c r="C94" s="124"/>
      <c r="D94" s="159"/>
      <c r="E94" s="159"/>
      <c r="F94" s="140"/>
      <c r="G94" s="140"/>
      <c r="H94" s="159"/>
      <c r="I94" s="159"/>
      <c r="J94" s="19"/>
      <c r="K94" s="19"/>
      <c r="L94" s="19"/>
    </row>
    <row r="95" spans="2:12" x14ac:dyDescent="0.25">
      <c r="B95" s="166"/>
      <c r="C95" s="124"/>
      <c r="D95" s="159"/>
      <c r="E95" s="159"/>
      <c r="F95" s="159"/>
      <c r="G95" s="159"/>
      <c r="H95" s="159"/>
      <c r="I95" s="159"/>
      <c r="J95" s="19"/>
      <c r="K95" s="19"/>
      <c r="L95" s="19"/>
    </row>
    <row r="96" spans="2:12" x14ac:dyDescent="0.25">
      <c r="B96" s="166"/>
      <c r="C96" s="124"/>
      <c r="D96" s="159"/>
      <c r="E96" s="159"/>
      <c r="F96" s="159"/>
      <c r="G96" s="159"/>
      <c r="H96" s="159"/>
      <c r="K96" s="19"/>
      <c r="L96" s="19"/>
    </row>
    <row r="97" spans="2:9" x14ac:dyDescent="0.25">
      <c r="B97" s="166"/>
      <c r="C97" s="124"/>
      <c r="D97" s="167"/>
      <c r="E97" s="159"/>
      <c r="F97" s="167"/>
      <c r="G97" s="159"/>
      <c r="H97" s="167"/>
    </row>
    <row r="98" spans="2:9" x14ac:dyDescent="0.25">
      <c r="B98" s="166"/>
      <c r="C98" s="124"/>
      <c r="D98" s="159"/>
      <c r="E98" s="159"/>
      <c r="F98" s="159"/>
      <c r="G98" s="159"/>
      <c r="H98" s="159"/>
      <c r="I98" s="168"/>
    </row>
    <row r="99" spans="2:9" x14ac:dyDescent="0.25">
      <c r="B99" s="163"/>
      <c r="C99" s="124"/>
      <c r="D99" s="159"/>
      <c r="E99" s="159"/>
      <c r="F99" s="159"/>
      <c r="G99" s="159"/>
      <c r="H99" s="159"/>
      <c r="I99" s="168"/>
    </row>
    <row r="100" spans="2:9" x14ac:dyDescent="0.25">
      <c r="B100" s="166"/>
      <c r="C100" s="124"/>
      <c r="D100" s="159"/>
      <c r="E100" s="159"/>
      <c r="F100" s="159"/>
      <c r="G100" s="159"/>
      <c r="H100" s="159"/>
      <c r="I100" s="168"/>
    </row>
    <row r="101" spans="2:9" x14ac:dyDescent="0.25">
      <c r="B101" s="166"/>
      <c r="C101" s="124"/>
      <c r="D101" s="159"/>
      <c r="E101" s="159"/>
      <c r="F101" s="159"/>
      <c r="G101" s="159"/>
      <c r="H101" s="159"/>
      <c r="I101" s="168"/>
    </row>
    <row r="102" spans="2:9" x14ac:dyDescent="0.25">
      <c r="B102" s="166"/>
      <c r="C102" s="124"/>
      <c r="D102" s="167"/>
      <c r="E102" s="159"/>
      <c r="F102" s="167"/>
      <c r="G102" s="159"/>
      <c r="H102" s="167"/>
      <c r="I102" s="168"/>
    </row>
    <row r="103" spans="2:9" x14ac:dyDescent="0.25">
      <c r="I103" s="168"/>
    </row>
    <row r="104" spans="2:9" x14ac:dyDescent="0.25">
      <c r="I104" s="168"/>
    </row>
    <row r="105" spans="2:9" x14ac:dyDescent="0.25">
      <c r="B105" s="169"/>
      <c r="C105" s="103"/>
      <c r="D105" s="168"/>
      <c r="E105" s="168"/>
      <c r="F105" s="168"/>
      <c r="G105" s="168"/>
      <c r="H105" s="168"/>
      <c r="I105" s="168"/>
    </row>
    <row r="106" spans="2:9" x14ac:dyDescent="0.25">
      <c r="B106" s="169"/>
      <c r="C106" s="103"/>
      <c r="D106" s="168"/>
      <c r="E106" s="168"/>
      <c r="F106" s="168"/>
      <c r="G106" s="168"/>
      <c r="H106" s="168"/>
      <c r="I106" s="168"/>
    </row>
    <row r="107" spans="2:9" x14ac:dyDescent="0.25">
      <c r="B107" s="169"/>
      <c r="C107" s="103"/>
      <c r="D107" s="170"/>
      <c r="E107" s="168"/>
      <c r="F107" s="170"/>
      <c r="G107" s="168"/>
      <c r="H107" s="170"/>
      <c r="I107" s="168"/>
    </row>
    <row r="108" spans="2:9" x14ac:dyDescent="0.25">
      <c r="B108" s="169"/>
      <c r="C108" s="103"/>
      <c r="D108" s="168"/>
      <c r="E108" s="168"/>
      <c r="F108" s="168"/>
      <c r="G108" s="168"/>
      <c r="H108" s="168"/>
      <c r="I108" s="168"/>
    </row>
    <row r="109" spans="2:9" x14ac:dyDescent="0.25">
      <c r="B109" s="171"/>
      <c r="C109" s="103"/>
      <c r="D109" s="168"/>
      <c r="E109" s="168"/>
      <c r="F109" s="168"/>
      <c r="G109" s="168"/>
      <c r="H109" s="168"/>
      <c r="I109" s="168"/>
    </row>
    <row r="110" spans="2:9" x14ac:dyDescent="0.25">
      <c r="B110" s="169"/>
      <c r="C110" s="103"/>
      <c r="D110" s="168"/>
      <c r="E110" s="168"/>
      <c r="F110" s="168"/>
      <c r="G110" s="168"/>
      <c r="H110" s="168"/>
    </row>
    <row r="111" spans="2:9" x14ac:dyDescent="0.25">
      <c r="B111" s="169"/>
      <c r="C111" s="103"/>
      <c r="D111" s="168"/>
      <c r="E111" s="168"/>
      <c r="F111" s="168"/>
      <c r="G111" s="168"/>
      <c r="H111" s="168"/>
    </row>
    <row r="112" spans="2:9" x14ac:dyDescent="0.25">
      <c r="B112" s="169"/>
      <c r="C112" s="103"/>
      <c r="D112" s="65"/>
      <c r="E112" s="168"/>
      <c r="F112" s="65"/>
      <c r="G112" s="168"/>
      <c r="H112" s="65"/>
    </row>
    <row r="113" spans="2:8" x14ac:dyDescent="0.25">
      <c r="B113" s="169"/>
      <c r="C113" s="103"/>
      <c r="D113" s="168"/>
      <c r="E113" s="168"/>
      <c r="F113" s="168"/>
      <c r="G113" s="168"/>
      <c r="H113" s="168"/>
    </row>
    <row r="114" spans="2:8" x14ac:dyDescent="0.25">
      <c r="B114" s="171"/>
      <c r="C114" s="103"/>
      <c r="D114" s="168"/>
      <c r="E114" s="168"/>
      <c r="F114" s="168"/>
      <c r="G114" s="168"/>
      <c r="H114" s="168"/>
    </row>
    <row r="115" spans="2:8" x14ac:dyDescent="0.25">
      <c r="B115" s="169"/>
      <c r="C115" s="103"/>
      <c r="D115" s="168"/>
      <c r="E115" s="168"/>
      <c r="F115" s="168"/>
      <c r="G115" s="168"/>
      <c r="H115" s="168"/>
    </row>
    <row r="116" spans="2:8" x14ac:dyDescent="0.25">
      <c r="B116" s="169"/>
      <c r="C116" s="103"/>
      <c r="D116" s="168"/>
      <c r="E116" s="168"/>
      <c r="F116" s="168"/>
      <c r="G116" s="168"/>
      <c r="H116" s="168"/>
    </row>
    <row r="166" spans="2:10" ht="13.2" thickBot="1" x14ac:dyDescent="0.3"/>
    <row r="167" spans="2:10" x14ac:dyDescent="0.25">
      <c r="I167" s="172" t="s">
        <v>21</v>
      </c>
      <c r="J167" s="173">
        <v>4.7999999999999996E-3</v>
      </c>
    </row>
    <row r="168" spans="2:10" x14ac:dyDescent="0.25">
      <c r="I168" s="122"/>
      <c r="J168" s="174"/>
    </row>
    <row r="169" spans="2:10" x14ac:dyDescent="0.25">
      <c r="I169" s="19"/>
      <c r="J169" s="174"/>
    </row>
    <row r="170" spans="2:10" x14ac:dyDescent="0.25">
      <c r="I170" s="120"/>
      <c r="J170" s="174"/>
    </row>
    <row r="171" spans="2:10" x14ac:dyDescent="0.25">
      <c r="I171" s="120"/>
      <c r="J171" s="174"/>
    </row>
    <row r="172" spans="2:10" x14ac:dyDescent="0.25">
      <c r="I172" s="120"/>
      <c r="J172" s="174"/>
    </row>
    <row r="173" spans="2:10" ht="13.2" thickBot="1" x14ac:dyDescent="0.3">
      <c r="I173" s="19"/>
      <c r="J173" s="174"/>
    </row>
    <row r="174" spans="2:10" ht="13.2" thickBot="1" x14ac:dyDescent="0.3">
      <c r="B174" s="175" t="s">
        <v>30</v>
      </c>
      <c r="C174" s="176" t="s">
        <v>11</v>
      </c>
      <c r="D174" s="95">
        <v>5</v>
      </c>
      <c r="E174" s="95"/>
      <c r="F174" s="177" t="s">
        <v>13</v>
      </c>
      <c r="G174" s="178">
        <f>2.5*D174</f>
        <v>12.5</v>
      </c>
      <c r="H174" s="179"/>
      <c r="I174" s="141"/>
      <c r="J174" s="174"/>
    </row>
    <row r="175" spans="2:10" x14ac:dyDescent="0.25">
      <c r="B175" s="120"/>
      <c r="C175" s="180" t="s">
        <v>12</v>
      </c>
      <c r="D175" s="19">
        <v>0.7</v>
      </c>
      <c r="E175" s="120"/>
      <c r="F175" s="181" t="s">
        <v>14</v>
      </c>
      <c r="G175" s="182">
        <f>35*D174*D175</f>
        <v>122.49999999999999</v>
      </c>
      <c r="H175" s="183"/>
      <c r="I175" s="148"/>
      <c r="J175" s="174"/>
    </row>
    <row r="176" spans="2:10" x14ac:dyDescent="0.25">
      <c r="B176" s="184"/>
      <c r="C176" s="185"/>
      <c r="D176" s="19"/>
      <c r="E176" s="19"/>
      <c r="F176" s="186" t="s">
        <v>15</v>
      </c>
      <c r="G176" s="182">
        <f>D174*D175*80</f>
        <v>280</v>
      </c>
      <c r="H176" s="19"/>
      <c r="I176" s="187"/>
      <c r="J176" s="174"/>
    </row>
    <row r="177" spans="2:10" x14ac:dyDescent="0.25">
      <c r="B177" s="184"/>
      <c r="C177" s="185"/>
      <c r="D177" s="19"/>
      <c r="E177" s="188"/>
      <c r="F177" s="10"/>
      <c r="G177" s="189">
        <f>SUM(G174:G176)</f>
        <v>415</v>
      </c>
      <c r="H177" s="148"/>
      <c r="I177" s="159"/>
      <c r="J177" s="174"/>
    </row>
    <row r="178" spans="2:10" x14ac:dyDescent="0.25">
      <c r="B178" s="184"/>
      <c r="C178" s="185"/>
      <c r="D178" s="124"/>
      <c r="E178" s="19"/>
      <c r="F178" s="124"/>
      <c r="G178" s="190"/>
      <c r="H178" s="148"/>
      <c r="I178" s="159"/>
      <c r="J178" s="174"/>
    </row>
    <row r="179" spans="2:10" x14ac:dyDescent="0.25">
      <c r="B179" s="184"/>
      <c r="C179" s="185"/>
      <c r="D179" s="148"/>
      <c r="E179" s="120"/>
      <c r="F179" s="186" t="s">
        <v>16</v>
      </c>
      <c r="G179" s="187">
        <f>G177*5</f>
        <v>2075</v>
      </c>
      <c r="H179" s="148"/>
      <c r="I179" s="159"/>
      <c r="J179" s="174"/>
    </row>
    <row r="180" spans="2:10" ht="16.2" thickBot="1" x14ac:dyDescent="0.35">
      <c r="B180" s="191"/>
      <c r="C180" s="192"/>
      <c r="D180" s="120"/>
      <c r="E180" s="120"/>
      <c r="F180" s="19" t="s">
        <v>18</v>
      </c>
      <c r="G180" s="19" t="s">
        <v>19</v>
      </c>
      <c r="H180" s="19"/>
      <c r="I180" s="193"/>
      <c r="J180" s="194"/>
    </row>
    <row r="181" spans="2:10" x14ac:dyDescent="0.25">
      <c r="B181" s="161"/>
      <c r="C181" s="195"/>
      <c r="D181" s="124" t="s">
        <v>17</v>
      </c>
      <c r="E181" s="139"/>
      <c r="F181" s="158">
        <f>G179*2/(PI()*(0.0048)^2)</f>
        <v>57334463.006194949</v>
      </c>
      <c r="G181" s="158">
        <f>16*7.8/(PI()*(0.0048)^3)</f>
        <v>359203864.61712497</v>
      </c>
      <c r="H181" s="124"/>
      <c r="I181" s="159"/>
      <c r="J181" s="19"/>
    </row>
    <row r="182" spans="2:10" ht="13.2" thickBot="1" x14ac:dyDescent="0.3">
      <c r="B182" s="144"/>
      <c r="C182" s="196"/>
      <c r="D182" s="124" t="s">
        <v>20</v>
      </c>
      <c r="E182" s="32">
        <v>4.4000000000000004</v>
      </c>
      <c r="F182" s="197">
        <f>16*E182/(PI()*J167^3)</f>
        <v>202627821.06607053</v>
      </c>
      <c r="G182" s="158">
        <f>16*7.8/(PI()*(0.0048)^3)</f>
        <v>359203864.61712497</v>
      </c>
      <c r="H182" s="147"/>
      <c r="I182" s="159"/>
      <c r="J182" s="19"/>
    </row>
    <row r="183" spans="2:10" x14ac:dyDescent="0.25">
      <c r="B183" s="19"/>
      <c r="C183" s="196"/>
      <c r="D183" s="124" t="s">
        <v>22</v>
      </c>
      <c r="E183" s="124">
        <v>4200</v>
      </c>
      <c r="F183" s="158">
        <f>4*E183/(PI()*J167^2)</f>
        <v>232100958.67568076</v>
      </c>
      <c r="G183" s="158">
        <v>700000000</v>
      </c>
      <c r="H183" s="187"/>
      <c r="I183" s="198">
        <v>0.06</v>
      </c>
      <c r="J183" s="96"/>
    </row>
    <row r="184" spans="2:10" x14ac:dyDescent="0.25">
      <c r="B184" s="19"/>
      <c r="C184" s="199"/>
      <c r="D184" s="159"/>
      <c r="E184" s="159"/>
      <c r="F184" s="159"/>
      <c r="G184" s="159"/>
      <c r="H184" s="159"/>
      <c r="I184" s="158">
        <v>5.7000000000000002E-3</v>
      </c>
      <c r="J184" s="174"/>
    </row>
    <row r="185" spans="2:10" x14ac:dyDescent="0.25">
      <c r="B185" s="163"/>
      <c r="C185" s="199"/>
      <c r="D185" s="159"/>
      <c r="E185" s="159"/>
      <c r="F185" s="159"/>
      <c r="G185" s="159"/>
      <c r="H185" s="159"/>
      <c r="I185" s="158">
        <v>2.2300000000000002E-3</v>
      </c>
      <c r="J185" s="174"/>
    </row>
    <row r="186" spans="2:10" x14ac:dyDescent="0.25">
      <c r="B186" s="166"/>
      <c r="C186" s="199"/>
      <c r="D186" s="159"/>
      <c r="E186" s="159"/>
      <c r="F186" s="200" t="s">
        <v>23</v>
      </c>
      <c r="G186" s="200" t="s">
        <v>24</v>
      </c>
      <c r="H186" s="159"/>
      <c r="I186" s="159"/>
      <c r="J186" s="174"/>
    </row>
    <row r="187" spans="2:10" ht="13.2" thickBot="1" x14ac:dyDescent="0.3">
      <c r="B187" s="166"/>
      <c r="C187" s="201"/>
      <c r="D187" s="193"/>
      <c r="E187" s="193"/>
      <c r="F187" s="202">
        <f>SQRT(3*(F181+F182)^2+F183^2)</f>
        <v>506568872.35436988</v>
      </c>
      <c r="G187" s="202">
        <f>450000000*0.9</f>
        <v>405000000</v>
      </c>
      <c r="H187" s="193"/>
      <c r="I187" s="159"/>
      <c r="J187" s="174"/>
    </row>
    <row r="188" spans="2:10" x14ac:dyDescent="0.25">
      <c r="B188" s="161"/>
      <c r="C188" s="124"/>
      <c r="D188" s="10"/>
      <c r="E188" s="159"/>
      <c r="F188" s="10"/>
      <c r="G188" s="159"/>
      <c r="H188" s="10"/>
      <c r="I188" s="159"/>
      <c r="J188" s="174"/>
    </row>
    <row r="189" spans="2:10" ht="13.2" thickBot="1" x14ac:dyDescent="0.3">
      <c r="B189" s="161"/>
      <c r="C189" s="124"/>
      <c r="D189" s="159"/>
      <c r="E189" s="159"/>
      <c r="F189" s="159"/>
      <c r="G189" s="159"/>
      <c r="H189" s="159"/>
      <c r="I189" s="159"/>
      <c r="J189" s="174"/>
    </row>
    <row r="190" spans="2:10" ht="13.2" thickBot="1" x14ac:dyDescent="0.3">
      <c r="B190" s="203" t="s">
        <v>31</v>
      </c>
      <c r="C190" s="204"/>
      <c r="D190" s="205"/>
      <c r="E190" s="206"/>
      <c r="F190" s="177" t="s">
        <v>16</v>
      </c>
      <c r="G190" s="207">
        <f>G179</f>
        <v>2075</v>
      </c>
      <c r="H190" s="208" t="s">
        <v>25</v>
      </c>
      <c r="I190" s="159"/>
      <c r="J190" s="174"/>
    </row>
    <row r="191" spans="2:10" x14ac:dyDescent="0.25">
      <c r="B191" s="166"/>
      <c r="C191" s="199"/>
      <c r="D191" s="159"/>
      <c r="E191" s="159"/>
      <c r="F191" s="159"/>
      <c r="G191" s="159"/>
      <c r="H191" s="164" t="s">
        <v>10</v>
      </c>
      <c r="I191" s="159"/>
      <c r="J191" s="174"/>
    </row>
    <row r="192" spans="2:10" x14ac:dyDescent="0.25">
      <c r="B192" s="166"/>
      <c r="C192" s="199"/>
      <c r="D192" s="159"/>
      <c r="E192" s="159"/>
      <c r="F192" s="159"/>
      <c r="G192" s="159"/>
      <c r="H192" s="164" t="s">
        <v>26</v>
      </c>
      <c r="I192" s="159"/>
      <c r="J192" s="174"/>
    </row>
    <row r="193" spans="2:10" x14ac:dyDescent="0.25">
      <c r="B193" s="166"/>
      <c r="C193" s="199"/>
      <c r="D193" s="167"/>
      <c r="E193" s="159"/>
      <c r="F193" s="10"/>
      <c r="G193" s="159"/>
      <c r="H193" s="10"/>
      <c r="I193" s="159"/>
      <c r="J193" s="174"/>
    </row>
    <row r="194" spans="2:10" x14ac:dyDescent="0.25">
      <c r="B194" s="166"/>
      <c r="C194" s="199"/>
      <c r="D194" s="159"/>
      <c r="E194" s="159"/>
      <c r="F194" s="159" t="s">
        <v>18</v>
      </c>
      <c r="G194" s="159" t="s">
        <v>19</v>
      </c>
      <c r="H194" s="159"/>
      <c r="I194" s="159"/>
      <c r="J194" s="174"/>
    </row>
    <row r="195" spans="2:10" ht="13.2" thickBot="1" x14ac:dyDescent="0.3">
      <c r="B195" s="163"/>
      <c r="C195" s="199"/>
      <c r="D195" s="159"/>
      <c r="E195" s="164" t="s">
        <v>27</v>
      </c>
      <c r="F195" s="140">
        <f>G190/(I183*I185)</f>
        <v>15508221.225710016</v>
      </c>
      <c r="G195" s="197">
        <v>110000000</v>
      </c>
      <c r="H195" s="159"/>
      <c r="I195" s="193"/>
      <c r="J195" s="194"/>
    </row>
    <row r="196" spans="2:10" x14ac:dyDescent="0.25">
      <c r="B196" s="166"/>
      <c r="C196" s="199"/>
      <c r="D196" s="159"/>
      <c r="E196" s="164" t="s">
        <v>22</v>
      </c>
      <c r="F196" s="140">
        <f>G190*I184*6/(I183*I185^2)</f>
        <v>237839087.85618046</v>
      </c>
      <c r="G196" s="197">
        <v>160000000</v>
      </c>
      <c r="H196" s="159"/>
    </row>
    <row r="197" spans="2:10" x14ac:dyDescent="0.25">
      <c r="B197" s="166"/>
      <c r="C197" s="199"/>
      <c r="D197" s="159"/>
      <c r="E197" s="159"/>
      <c r="F197" s="159"/>
      <c r="G197" s="159"/>
      <c r="H197" s="159"/>
    </row>
    <row r="198" spans="2:10" x14ac:dyDescent="0.25">
      <c r="B198" s="166"/>
      <c r="C198" s="199"/>
      <c r="D198" s="167"/>
      <c r="E198" s="159"/>
      <c r="F198" s="167"/>
      <c r="G198" s="159"/>
      <c r="H198" s="167"/>
    </row>
    <row r="199" spans="2:10" x14ac:dyDescent="0.25">
      <c r="B199" s="166"/>
      <c r="C199" s="199"/>
      <c r="D199" s="159"/>
      <c r="E199" s="159"/>
      <c r="F199" s="200" t="s">
        <v>23</v>
      </c>
      <c r="G199" s="200" t="s">
        <v>24</v>
      </c>
      <c r="H199" s="159"/>
    </row>
    <row r="200" spans="2:10" x14ac:dyDescent="0.25">
      <c r="B200" s="163"/>
      <c r="C200" s="199"/>
      <c r="D200" s="159"/>
      <c r="E200" s="159"/>
      <c r="F200" s="209">
        <f>SQRT(F195^2*3+F196^2)</f>
        <v>239351094.60584596</v>
      </c>
      <c r="G200" s="209">
        <f>120000000*0.9</f>
        <v>108000000</v>
      </c>
      <c r="H200" s="159"/>
    </row>
    <row r="201" spans="2:10" x14ac:dyDescent="0.25">
      <c r="B201" s="166"/>
      <c r="C201" s="199"/>
      <c r="D201" s="159"/>
      <c r="E201" s="159"/>
      <c r="F201" s="159"/>
      <c r="G201" s="159"/>
      <c r="H201" s="159"/>
    </row>
    <row r="202" spans="2:10" ht="13.2" thickBot="1" x14ac:dyDescent="0.3">
      <c r="B202" s="166"/>
      <c r="C202" s="201"/>
      <c r="D202" s="193"/>
      <c r="E202" s="193"/>
      <c r="F202" s="193"/>
      <c r="G202" s="193"/>
      <c r="H202" s="193"/>
    </row>
  </sheetData>
  <mergeCells count="19">
    <mergeCell ref="I9:J9"/>
    <mergeCell ref="I10:J10"/>
    <mergeCell ref="I11:J11"/>
    <mergeCell ref="I2:K2"/>
    <mergeCell ref="I3:K4"/>
    <mergeCell ref="I6:K6"/>
    <mergeCell ref="B35:C35"/>
    <mergeCell ref="B23:C23"/>
    <mergeCell ref="B24:C24"/>
    <mergeCell ref="B26:C26"/>
    <mergeCell ref="B2:G2"/>
    <mergeCell ref="B16:C16"/>
    <mergeCell ref="B17:C17"/>
    <mergeCell ref="B18:C18"/>
    <mergeCell ref="B22:C22"/>
    <mergeCell ref="E7:F7"/>
    <mergeCell ref="I14:K15"/>
    <mergeCell ref="I7:J7"/>
    <mergeCell ref="I8:J8"/>
  </mergeCells>
  <phoneticPr fontId="4" type="noConversion"/>
  <conditionalFormatting sqref="K7:K11 G85:G87 G73 G75:G78 G46 G51 G57 G59 G61 G65 G67 G69 G80:G83">
    <cfRule type="cellIs" dxfId="3" priority="1" stopIfTrue="1" operator="greaterThan">
      <formula>100</formula>
    </cfRule>
  </conditionalFormatting>
  <conditionalFormatting sqref="G10">
    <cfRule type="cellIs" dxfId="2" priority="2" stopIfTrue="1" operator="lessThan">
      <formula>$D$10</formula>
    </cfRule>
  </conditionalFormatting>
  <pageMargins left="0" right="0" top="0" bottom="0" header="0.51181102362204722" footer="0.51181102362204722"/>
  <pageSetup paperSize="8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Q210"/>
  <sheetViews>
    <sheetView workbookViewId="0">
      <selection activeCell="E15" sqref="E15"/>
    </sheetView>
  </sheetViews>
  <sheetFormatPr baseColWidth="10" defaultColWidth="11.44140625" defaultRowHeight="12.6" x14ac:dyDescent="0.25"/>
  <cols>
    <col min="1" max="1" width="1.6640625" style="20" customWidth="1"/>
    <col min="2" max="7" width="13.33203125" style="20" customWidth="1"/>
    <col min="8" max="8" width="10.6640625" style="20" bestFit="1" customWidth="1"/>
    <col min="9" max="9" width="13.33203125" style="20" customWidth="1"/>
    <col min="10" max="10" width="12.109375" style="20" customWidth="1"/>
    <col min="11" max="13" width="13.33203125" style="20" customWidth="1"/>
    <col min="14" max="14" width="12.6640625" style="20" customWidth="1"/>
    <col min="15" max="15" width="8.109375" style="20" customWidth="1"/>
    <col min="16" max="16" width="8.109375" style="20" hidden="1" customWidth="1"/>
    <col min="17" max="17" width="7" style="20" hidden="1" customWidth="1"/>
    <col min="18" max="16384" width="11.44140625" style="20"/>
  </cols>
  <sheetData>
    <row r="1" spans="1:17" ht="13.2" x14ac:dyDescent="0.25">
      <c r="B1" s="319" t="s">
        <v>137</v>
      </c>
      <c r="C1" s="320"/>
      <c r="D1" s="320"/>
      <c r="E1" s="320"/>
      <c r="F1" s="320"/>
      <c r="G1" s="320"/>
      <c r="H1" s="320"/>
      <c r="I1" s="320"/>
      <c r="J1" s="320"/>
      <c r="K1" s="320"/>
      <c r="P1" s="31"/>
      <c r="Q1" s="1"/>
    </row>
    <row r="2" spans="1:17" ht="19.8" x14ac:dyDescent="0.25">
      <c r="B2" s="331" t="s">
        <v>124</v>
      </c>
      <c r="C2" s="337"/>
      <c r="D2" s="337"/>
      <c r="E2" s="337"/>
      <c r="F2" s="337"/>
      <c r="G2" s="337"/>
      <c r="H2" s="262"/>
      <c r="L2" s="263"/>
      <c r="P2" s="31"/>
      <c r="Q2" s="1"/>
    </row>
    <row r="3" spans="1:17" ht="3" customHeight="1" thickBot="1" x14ac:dyDescent="0.3">
      <c r="E3" s="32"/>
      <c r="F3" s="32"/>
      <c r="G3" s="32"/>
      <c r="J3" s="34"/>
      <c r="K3" s="34"/>
      <c r="L3" s="34"/>
      <c r="P3" s="31"/>
      <c r="Q3" s="1"/>
    </row>
    <row r="4" spans="1:17" ht="12.75" customHeight="1" thickTop="1" x14ac:dyDescent="0.25">
      <c r="B4" s="357" t="s">
        <v>5</v>
      </c>
      <c r="C4" s="358"/>
      <c r="D4" s="358"/>
      <c r="E4" s="358"/>
      <c r="F4" s="358"/>
      <c r="G4" s="359"/>
      <c r="H4" s="42"/>
      <c r="I4" s="333" t="s">
        <v>41</v>
      </c>
      <c r="J4" s="334"/>
      <c r="K4" s="341"/>
      <c r="L4" s="42"/>
      <c r="M4" s="42"/>
      <c r="N4" s="42"/>
      <c r="P4" s="31"/>
      <c r="Q4" s="1"/>
    </row>
    <row r="5" spans="1:17" ht="24.9" customHeight="1" x14ac:dyDescent="0.3">
      <c r="B5" s="248"/>
      <c r="C5" s="44" t="s">
        <v>135</v>
      </c>
      <c r="D5" s="301">
        <f>(G5/2)/(COS(D7*PI()/180))</f>
        <v>4528.7355115234241</v>
      </c>
      <c r="E5" s="355" t="s">
        <v>74</v>
      </c>
      <c r="F5" s="356"/>
      <c r="G5" s="310">
        <v>7844</v>
      </c>
      <c r="H5" s="19"/>
      <c r="I5" s="353" t="s">
        <v>94</v>
      </c>
      <c r="J5" s="354"/>
      <c r="K5" s="229">
        <f>G44</f>
        <v>10.714688440385798</v>
      </c>
      <c r="L5" s="19"/>
      <c r="M5" s="19"/>
      <c r="N5" s="19"/>
      <c r="P5" s="31"/>
      <c r="Q5" s="1"/>
    </row>
    <row r="6" spans="1:17" ht="24.9" customHeight="1" x14ac:dyDescent="0.3">
      <c r="A6" s="32"/>
      <c r="B6" s="248"/>
      <c r="C6" s="44" t="s">
        <v>127</v>
      </c>
      <c r="D6" s="307">
        <v>700</v>
      </c>
      <c r="E6" s="32"/>
      <c r="F6" s="19"/>
      <c r="G6" s="239"/>
      <c r="H6" s="19"/>
      <c r="I6" s="353" t="s">
        <v>85</v>
      </c>
      <c r="J6" s="354"/>
      <c r="K6" s="229">
        <f>G49</f>
        <v>13.854687413887746</v>
      </c>
      <c r="L6" s="19"/>
      <c r="M6" s="19"/>
      <c r="N6" s="19"/>
      <c r="P6" s="31"/>
      <c r="Q6" s="1"/>
    </row>
    <row r="7" spans="1:17" ht="24.9" customHeight="1" x14ac:dyDescent="0.3">
      <c r="A7" s="32"/>
      <c r="B7" s="248"/>
      <c r="C7" s="44" t="s">
        <v>112</v>
      </c>
      <c r="D7" s="308">
        <v>30</v>
      </c>
      <c r="E7" s="32"/>
      <c r="F7" s="19"/>
      <c r="G7" s="239"/>
      <c r="H7" s="19"/>
      <c r="I7" s="353" t="s">
        <v>95</v>
      </c>
      <c r="J7" s="354"/>
      <c r="K7" s="229">
        <f>MAX(G55:G59)</f>
        <v>1.286177893860968</v>
      </c>
      <c r="L7" s="19"/>
      <c r="M7" s="19"/>
      <c r="N7" s="19"/>
      <c r="P7" s="31"/>
      <c r="Q7" s="1"/>
    </row>
    <row r="8" spans="1:17" ht="24.9" customHeight="1" x14ac:dyDescent="0.3">
      <c r="A8" s="32"/>
      <c r="B8" s="248"/>
      <c r="C8" s="44" t="s">
        <v>113</v>
      </c>
      <c r="D8" s="307">
        <f>G8</f>
        <v>2264.3677557617116</v>
      </c>
      <c r="E8" s="32"/>
      <c r="F8" s="44" t="s">
        <v>115</v>
      </c>
      <c r="G8" s="302">
        <f>D5*SIN(RADIANS(D7))</f>
        <v>2264.3677557617116</v>
      </c>
      <c r="H8" s="19"/>
      <c r="I8" s="353" t="s">
        <v>96</v>
      </c>
      <c r="J8" s="354"/>
      <c r="K8" s="229">
        <f>MAX(G63:G67)</f>
        <v>59.838990020765124</v>
      </c>
      <c r="L8" s="19"/>
      <c r="M8" s="19"/>
      <c r="N8" s="19"/>
      <c r="P8" s="31"/>
      <c r="Q8" s="1"/>
    </row>
    <row r="9" spans="1:17" ht="24.9" customHeight="1" thickBot="1" x14ac:dyDescent="0.35">
      <c r="A9" s="32"/>
      <c r="B9" s="250"/>
      <c r="C9" s="251" t="s">
        <v>114</v>
      </c>
      <c r="D9" s="309">
        <v>3</v>
      </c>
      <c r="E9" s="252"/>
      <c r="F9" s="251"/>
      <c r="G9" s="303"/>
      <c r="H9" s="19"/>
      <c r="I9" s="360" t="s">
        <v>109</v>
      </c>
      <c r="J9" s="361"/>
      <c r="K9" s="233">
        <f>MAX(G78:G87)</f>
        <v>76.564379867372352</v>
      </c>
      <c r="L9" s="19"/>
      <c r="M9" s="19"/>
      <c r="N9" s="19"/>
      <c r="P9" s="31"/>
      <c r="Q9" s="1"/>
    </row>
    <row r="10" spans="1:17" ht="3" customHeight="1" thickTop="1" thickBot="1" x14ac:dyDescent="0.3">
      <c r="G10" s="32"/>
      <c r="P10" s="31"/>
      <c r="Q10" s="1"/>
    </row>
    <row r="11" spans="1:17" ht="3" hidden="1" customHeight="1" thickBot="1" x14ac:dyDescent="0.3">
      <c r="M11" s="32"/>
      <c r="P11" s="31"/>
      <c r="Q11" s="1"/>
    </row>
    <row r="12" spans="1:17" ht="12.75" customHeight="1" thickTop="1" x14ac:dyDescent="0.25">
      <c r="B12" s="357" t="s">
        <v>110</v>
      </c>
      <c r="C12" s="358"/>
      <c r="D12" s="358"/>
      <c r="E12" s="358"/>
      <c r="F12" s="358"/>
      <c r="G12" s="359"/>
      <c r="H12" s="19"/>
      <c r="I12" s="321" t="s">
        <v>111</v>
      </c>
      <c r="J12" s="322"/>
      <c r="K12" s="323"/>
      <c r="L12" s="19"/>
      <c r="M12" s="19"/>
      <c r="N12" s="19"/>
      <c r="P12" s="26">
        <v>0</v>
      </c>
      <c r="Q12" s="56">
        <v>1</v>
      </c>
    </row>
    <row r="13" spans="1:17" s="57" customFormat="1" ht="15.9" customHeight="1" x14ac:dyDescent="0.25">
      <c r="B13" s="297"/>
      <c r="C13" s="299"/>
      <c r="D13" s="298"/>
      <c r="E13" s="298" t="s">
        <v>7</v>
      </c>
      <c r="F13" s="298"/>
      <c r="G13" s="313" t="s">
        <v>34</v>
      </c>
      <c r="H13" s="19"/>
      <c r="I13" s="324"/>
      <c r="J13" s="325"/>
      <c r="K13" s="326"/>
      <c r="L13" s="19"/>
      <c r="M13" s="19"/>
      <c r="N13" s="19"/>
      <c r="O13" s="19"/>
      <c r="P13" s="60">
        <v>5</v>
      </c>
      <c r="Q13" s="61">
        <v>0.79700000000000004</v>
      </c>
    </row>
    <row r="14" spans="1:17" ht="15.9" hidden="1" customHeight="1" x14ac:dyDescent="0.3">
      <c r="B14" s="362" t="s">
        <v>64</v>
      </c>
      <c r="C14" s="363"/>
      <c r="D14" s="10">
        <v>431356</v>
      </c>
      <c r="E14" s="306">
        <f>2.568+0.58+0.341</f>
        <v>3.4890000000000003</v>
      </c>
      <c r="F14" s="300">
        <f>D5</f>
        <v>4528.7355115234241</v>
      </c>
      <c r="G14" s="241"/>
      <c r="H14" s="19"/>
      <c r="I14" s="19"/>
      <c r="J14" s="3"/>
      <c r="K14" s="10"/>
      <c r="L14" s="10"/>
      <c r="M14" s="32"/>
      <c r="N14" s="32"/>
      <c r="P14" s="60">
        <v>10</v>
      </c>
      <c r="Q14" s="61">
        <v>0.78800000000000003</v>
      </c>
    </row>
    <row r="15" spans="1:17" ht="24.9" customHeight="1" x14ac:dyDescent="0.3">
      <c r="B15" s="362" t="s">
        <v>78</v>
      </c>
      <c r="C15" s="363"/>
      <c r="D15" s="4"/>
      <c r="E15" s="311">
        <v>35</v>
      </c>
      <c r="F15" s="2"/>
      <c r="G15" s="242"/>
      <c r="H15" s="10"/>
      <c r="I15" s="351" t="s">
        <v>125</v>
      </c>
      <c r="J15" s="352"/>
      <c r="K15" s="352"/>
      <c r="L15" s="19"/>
      <c r="M15" s="32"/>
      <c r="N15" s="32"/>
      <c r="P15" s="60">
        <v>15</v>
      </c>
      <c r="Q15" s="61">
        <v>0.77300000000000002</v>
      </c>
    </row>
    <row r="16" spans="1:17" ht="24.9" customHeight="1" thickBot="1" x14ac:dyDescent="0.35">
      <c r="B16" s="364" t="s">
        <v>79</v>
      </c>
      <c r="C16" s="365"/>
      <c r="D16" s="274"/>
      <c r="E16" s="312">
        <v>45</v>
      </c>
      <c r="F16" s="247"/>
      <c r="G16" s="275">
        <f>VLOOKUP(FLOOR(D7,5),Coeff_Pente,2)</f>
        <v>0.69299999999999995</v>
      </c>
      <c r="H16" s="10"/>
      <c r="I16" s="340" t="s">
        <v>126</v>
      </c>
      <c r="J16" s="339"/>
      <c r="K16" s="339"/>
      <c r="L16" s="19"/>
      <c r="M16" s="32"/>
      <c r="N16" s="32"/>
      <c r="P16" s="60">
        <v>20</v>
      </c>
      <c r="Q16" s="61">
        <v>0.752</v>
      </c>
    </row>
    <row r="17" spans="1:17" ht="399.9" customHeight="1" thickTop="1" thickBot="1" x14ac:dyDescent="0.35">
      <c r="A17" s="32"/>
      <c r="B17" s="252"/>
      <c r="C17" s="244"/>
      <c r="D17" s="245"/>
      <c r="E17" s="246">
        <v>3</v>
      </c>
      <c r="F17" s="247"/>
      <c r="G17" s="247"/>
      <c r="H17" s="10"/>
      <c r="I17" s="10"/>
      <c r="J17" s="10"/>
      <c r="K17" s="19"/>
      <c r="L17" s="19"/>
      <c r="M17" s="32"/>
      <c r="N17" s="32"/>
      <c r="P17" s="60">
        <v>25</v>
      </c>
      <c r="Q17" s="61">
        <v>0.72499999999999998</v>
      </c>
    </row>
    <row r="18" spans="1:17" ht="12.75" hidden="1" customHeight="1" thickTop="1" thickBot="1" x14ac:dyDescent="0.3">
      <c r="B18" s="259" t="s">
        <v>9</v>
      </c>
      <c r="C18" s="39"/>
      <c r="D18" s="260"/>
      <c r="E18" s="261"/>
      <c r="F18" s="230"/>
      <c r="G18" s="230"/>
      <c r="H18" s="230"/>
      <c r="I18" s="231"/>
      <c r="J18" s="231"/>
      <c r="K18" s="230"/>
      <c r="L18" s="232"/>
      <c r="M18" s="43"/>
      <c r="N18" s="19"/>
      <c r="P18" s="60">
        <v>30</v>
      </c>
      <c r="Q18" s="61">
        <v>0.69299999999999995</v>
      </c>
    </row>
    <row r="19" spans="1:17" s="57" customFormat="1" ht="20.100000000000001" hidden="1" customHeight="1" x14ac:dyDescent="0.25">
      <c r="B19" s="62"/>
      <c r="C19" s="63"/>
      <c r="D19" s="69" t="s">
        <v>6</v>
      </c>
      <c r="E19" s="70" t="s">
        <v>28</v>
      </c>
      <c r="F19" s="70" t="s">
        <v>29</v>
      </c>
      <c r="G19" s="59" t="s">
        <v>32</v>
      </c>
      <c r="H19" s="59" t="s">
        <v>33</v>
      </c>
      <c r="I19" s="10"/>
      <c r="J19" s="10"/>
      <c r="K19" s="59"/>
      <c r="L19" s="71"/>
      <c r="M19" s="10"/>
      <c r="N19" s="19"/>
      <c r="O19" s="19"/>
      <c r="P19" s="60">
        <v>35</v>
      </c>
      <c r="Q19" s="61">
        <v>0.54600000000000004</v>
      </c>
    </row>
    <row r="20" spans="1:17" ht="20.100000000000001" hidden="1" customHeight="1" x14ac:dyDescent="0.25">
      <c r="B20" s="343" t="s">
        <v>43</v>
      </c>
      <c r="C20" s="344"/>
      <c r="D20" s="187">
        <v>746143</v>
      </c>
      <c r="E20" s="212">
        <v>700</v>
      </c>
      <c r="F20" s="213">
        <v>450</v>
      </c>
      <c r="G20" s="72">
        <v>360</v>
      </c>
      <c r="H20" s="214">
        <v>10</v>
      </c>
      <c r="I20" s="73"/>
      <c r="J20" s="74"/>
      <c r="K20" s="75"/>
      <c r="L20" s="66"/>
      <c r="M20" s="31"/>
      <c r="N20" s="32"/>
      <c r="P20" s="60">
        <v>40</v>
      </c>
      <c r="Q20" s="61">
        <v>0.40899999999999997</v>
      </c>
    </row>
    <row r="21" spans="1:17" ht="20.100000000000001" hidden="1" customHeight="1" thickBot="1" x14ac:dyDescent="0.3">
      <c r="B21" s="343" t="s">
        <v>100</v>
      </c>
      <c r="C21" s="344"/>
      <c r="D21" s="187">
        <v>742719</v>
      </c>
      <c r="E21" s="29"/>
      <c r="F21" s="213">
        <v>450</v>
      </c>
      <c r="G21" s="215">
        <v>360</v>
      </c>
      <c r="H21" s="214">
        <v>10</v>
      </c>
      <c r="I21" s="73"/>
      <c r="J21" s="74"/>
      <c r="L21" s="66"/>
      <c r="M21" s="31"/>
      <c r="N21" s="32"/>
      <c r="P21" s="60"/>
      <c r="Q21" s="61"/>
    </row>
    <row r="22" spans="1:17" ht="20.100000000000001" hidden="1" customHeight="1" thickBot="1" x14ac:dyDescent="0.3">
      <c r="B22" s="343" t="s">
        <v>101</v>
      </c>
      <c r="C22" s="344"/>
      <c r="D22" s="187">
        <v>746105</v>
      </c>
      <c r="E22" s="212">
        <v>700</v>
      </c>
      <c r="F22" s="213">
        <v>450</v>
      </c>
      <c r="G22" s="215">
        <v>360</v>
      </c>
      <c r="H22" s="221">
        <v>8</v>
      </c>
      <c r="I22" s="73"/>
      <c r="J22" s="74"/>
      <c r="K22" s="75"/>
      <c r="L22" s="66"/>
      <c r="M22" s="31"/>
      <c r="N22" s="32"/>
      <c r="P22" s="60"/>
      <c r="Q22" s="61"/>
    </row>
    <row r="23" spans="1:17" ht="20.100000000000001" hidden="1" customHeight="1" thickBot="1" x14ac:dyDescent="0.3">
      <c r="B23" s="58"/>
      <c r="C23" s="42"/>
      <c r="D23" s="69" t="s">
        <v>6</v>
      </c>
      <c r="E23" s="70" t="s">
        <v>28</v>
      </c>
      <c r="F23" s="70" t="s">
        <v>29</v>
      </c>
      <c r="G23" s="59" t="s">
        <v>32</v>
      </c>
      <c r="L23" s="47"/>
      <c r="N23" s="32"/>
      <c r="P23" s="60"/>
      <c r="Q23" s="61"/>
    </row>
    <row r="24" spans="1:17" ht="20.100000000000001" hidden="1" customHeight="1" thickBot="1" x14ac:dyDescent="0.3">
      <c r="B24" s="343" t="s">
        <v>44</v>
      </c>
      <c r="C24" s="344"/>
      <c r="D24" s="187">
        <v>742718</v>
      </c>
      <c r="E24" s="218">
        <v>160</v>
      </c>
      <c r="F24" s="219">
        <v>120</v>
      </c>
      <c r="G24" s="220">
        <v>96</v>
      </c>
      <c r="L24" s="47"/>
      <c r="N24" s="32"/>
      <c r="P24" s="60">
        <v>45</v>
      </c>
      <c r="Q24" s="61">
        <v>0.28299999999999997</v>
      </c>
    </row>
    <row r="25" spans="1:17" ht="20.100000000000001" hidden="1" customHeight="1" x14ac:dyDescent="0.3">
      <c r="B25" s="62"/>
      <c r="C25" s="63"/>
      <c r="D25" s="4"/>
      <c r="E25" s="10" t="s">
        <v>47</v>
      </c>
      <c r="F25" s="10" t="s">
        <v>48</v>
      </c>
      <c r="G25" s="10" t="s">
        <v>69</v>
      </c>
      <c r="H25" s="10" t="s">
        <v>70</v>
      </c>
      <c r="I25" s="20" t="s">
        <v>49</v>
      </c>
      <c r="J25" s="32" t="s">
        <v>50</v>
      </c>
      <c r="K25" s="76"/>
      <c r="L25" s="77"/>
      <c r="N25" s="32"/>
      <c r="P25" s="60"/>
      <c r="Q25" s="61"/>
    </row>
    <row r="26" spans="1:17" ht="20.100000000000001" hidden="1" customHeight="1" x14ac:dyDescent="0.3">
      <c r="B26" s="62"/>
      <c r="C26" s="63"/>
      <c r="D26" s="4"/>
      <c r="E26" s="216">
        <v>17</v>
      </c>
      <c r="F26" s="214">
        <v>37.5</v>
      </c>
      <c r="G26" s="214">
        <v>25.5</v>
      </c>
      <c r="H26" s="214">
        <v>25.5</v>
      </c>
      <c r="I26" s="216">
        <v>9.5</v>
      </c>
      <c r="J26" s="217">
        <v>40</v>
      </c>
      <c r="K26" s="78"/>
      <c r="L26" s="77"/>
      <c r="N26" s="32"/>
      <c r="P26" s="60"/>
      <c r="Q26" s="61"/>
    </row>
    <row r="27" spans="1:17" ht="12.75" hidden="1" customHeight="1" thickBot="1" x14ac:dyDescent="0.35">
      <c r="B27" s="79"/>
      <c r="C27" s="80"/>
      <c r="D27" s="81"/>
      <c r="E27" s="33"/>
      <c r="F27" s="33"/>
      <c r="G27" s="33"/>
      <c r="H27" s="5"/>
      <c r="I27" s="8"/>
      <c r="J27" s="82"/>
      <c r="K27" s="33"/>
      <c r="L27" s="83"/>
      <c r="M27" s="62"/>
      <c r="N27" s="32"/>
      <c r="P27" s="60">
        <v>50</v>
      </c>
      <c r="Q27" s="61">
        <v>0.17100000000000001</v>
      </c>
    </row>
    <row r="28" spans="1:17" ht="3" hidden="1" customHeight="1" x14ac:dyDescent="0.35">
      <c r="B28" s="32"/>
      <c r="C28" s="84"/>
      <c r="E28" s="21"/>
      <c r="F28" s="65"/>
      <c r="G28" s="65"/>
      <c r="H28" s="22"/>
      <c r="I28" s="23"/>
      <c r="J28" s="65"/>
      <c r="K28" s="32"/>
      <c r="L28" s="32"/>
      <c r="M28" s="32"/>
      <c r="N28" s="32"/>
      <c r="P28" s="60"/>
      <c r="Q28" s="61"/>
    </row>
    <row r="29" spans="1:17" ht="3" hidden="1" customHeight="1" thickBot="1" x14ac:dyDescent="0.3">
      <c r="P29" s="25">
        <v>60</v>
      </c>
      <c r="Q29" s="85">
        <v>0</v>
      </c>
    </row>
    <row r="30" spans="1:17" ht="12.75" hidden="1" customHeight="1" thickTop="1" x14ac:dyDescent="0.25">
      <c r="B30" s="234" t="s">
        <v>76</v>
      </c>
      <c r="C30" s="235"/>
      <c r="D30" s="235"/>
      <c r="E30" s="236"/>
      <c r="F30" s="236"/>
      <c r="G30" s="236"/>
      <c r="H30" s="236"/>
      <c r="I30" s="236"/>
      <c r="J30" s="237"/>
      <c r="K30" s="19"/>
      <c r="L30" s="19"/>
      <c r="P30" s="31"/>
      <c r="Q30" s="1"/>
    </row>
    <row r="31" spans="1:17" ht="15.9" hidden="1" customHeight="1" x14ac:dyDescent="0.25">
      <c r="B31" s="238"/>
      <c r="C31" s="42"/>
      <c r="D31" s="10" t="s">
        <v>6</v>
      </c>
      <c r="E31" s="10" t="s">
        <v>7</v>
      </c>
      <c r="F31" s="65" t="s">
        <v>36</v>
      </c>
      <c r="G31" s="10"/>
      <c r="H31" s="19"/>
      <c r="I31" s="19"/>
      <c r="J31" s="249"/>
      <c r="K31" s="19"/>
      <c r="L31" s="19"/>
      <c r="P31" s="31"/>
      <c r="Q31" s="1"/>
    </row>
    <row r="32" spans="1:17" ht="15.9" hidden="1" customHeight="1" x14ac:dyDescent="0.3">
      <c r="B32" s="240"/>
      <c r="C32" s="63" t="s">
        <v>64</v>
      </c>
      <c r="D32" s="10">
        <v>430750</v>
      </c>
      <c r="E32" s="222">
        <f>E14*(D5/1000-0.034)</f>
        <v>15.682132199705228</v>
      </c>
      <c r="F32" s="97">
        <f>E32*9.81</f>
        <v>153.8417168791083</v>
      </c>
      <c r="G32" s="28"/>
      <c r="H32" s="32"/>
      <c r="I32" s="32"/>
      <c r="J32" s="256"/>
      <c r="K32" s="65"/>
      <c r="L32" s="65"/>
      <c r="P32" s="31"/>
      <c r="Q32" s="1"/>
    </row>
    <row r="33" spans="1:17" ht="15.9" hidden="1" customHeight="1" x14ac:dyDescent="0.3">
      <c r="B33" s="240"/>
      <c r="C33" s="63" t="s">
        <v>71</v>
      </c>
      <c r="D33" s="4"/>
      <c r="E33" s="222">
        <f>E15*(D5/1000+0.105)*D6/1000</f>
        <v>113.52652003232389</v>
      </c>
      <c r="F33" s="97">
        <f>E33*9.81</f>
        <v>1113.6951615170974</v>
      </c>
      <c r="G33" s="12"/>
      <c r="H33" s="65"/>
      <c r="I33" s="65"/>
      <c r="J33" s="253"/>
      <c r="K33" s="32"/>
      <c r="L33" s="32"/>
      <c r="P33" s="31"/>
      <c r="Q33" s="1"/>
    </row>
    <row r="34" spans="1:17" ht="15.9" hidden="1" customHeight="1" x14ac:dyDescent="0.3">
      <c r="B34" s="254"/>
      <c r="C34" s="63" t="s">
        <v>72</v>
      </c>
      <c r="D34" s="15"/>
      <c r="E34" s="222">
        <f>E16*(D5/1000+0.14)*D6/1000*G16</f>
        <v>101.91616184880058</v>
      </c>
      <c r="F34" s="97">
        <f>E34*9.81</f>
        <v>999.7975477367338</v>
      </c>
      <c r="G34" s="13"/>
      <c r="H34" s="65"/>
      <c r="I34" s="65"/>
      <c r="J34" s="253"/>
      <c r="K34" s="32"/>
      <c r="L34" s="32"/>
      <c r="P34" s="31"/>
      <c r="Q34" s="1"/>
    </row>
    <row r="35" spans="1:17" ht="15.9" hidden="1" customHeight="1" x14ac:dyDescent="0.3">
      <c r="B35" s="254"/>
      <c r="C35" s="63"/>
      <c r="D35" s="32"/>
      <c r="E35" s="14"/>
      <c r="F35" s="32"/>
      <c r="G35" s="13"/>
      <c r="H35" s="65"/>
      <c r="I35" s="65"/>
      <c r="J35" s="253"/>
      <c r="K35" s="32"/>
      <c r="L35" s="32"/>
      <c r="P35" s="31"/>
      <c r="Q35" s="1"/>
    </row>
    <row r="36" spans="1:17" ht="15.9" hidden="1" customHeight="1" x14ac:dyDescent="0.3">
      <c r="A36" s="19"/>
      <c r="B36" s="240"/>
      <c r="C36" s="15" t="s">
        <v>42</v>
      </c>
      <c r="D36" s="11"/>
      <c r="E36" s="222">
        <f>SUM(E32:E34)</f>
        <v>231.12481408082971</v>
      </c>
      <c r="F36" s="100">
        <f>SUM(F32:F34)</f>
        <v>2267.3344261329394</v>
      </c>
      <c r="G36" s="7"/>
      <c r="H36" s="65"/>
      <c r="I36" s="65"/>
      <c r="J36" s="253"/>
      <c r="K36" s="32"/>
      <c r="L36" s="32"/>
      <c r="M36" s="19"/>
      <c r="N36" s="19"/>
      <c r="O36" s="19"/>
      <c r="P36" s="10"/>
      <c r="Q36" s="1"/>
    </row>
    <row r="37" spans="1:17" ht="15.9" hidden="1" customHeight="1" x14ac:dyDescent="0.25">
      <c r="A37" s="19"/>
      <c r="B37" s="240"/>
      <c r="C37" s="15" t="s">
        <v>61</v>
      </c>
      <c r="D37" s="11"/>
      <c r="E37" s="14"/>
      <c r="F37" s="102">
        <f>D9/2*F36/TAN(RADIANS(D7))*G8/D8</f>
        <v>5890.7076357184123</v>
      </c>
      <c r="G37" s="32"/>
      <c r="H37" s="32"/>
      <c r="I37" s="103" t="s">
        <v>62</v>
      </c>
      <c r="J37" s="257">
        <f>F$37*SIN(RADIANS(D$7))</f>
        <v>2945.3538178592057</v>
      </c>
      <c r="K37" s="32"/>
      <c r="L37" s="32"/>
      <c r="M37" s="19"/>
      <c r="N37" s="19"/>
      <c r="O37" s="19"/>
      <c r="P37" s="10"/>
      <c r="Q37" s="1"/>
    </row>
    <row r="38" spans="1:17" ht="15.9" hidden="1" customHeight="1" x14ac:dyDescent="0.25">
      <c r="A38" s="19"/>
      <c r="B38" s="240"/>
      <c r="C38" s="15"/>
      <c r="D38" s="11"/>
      <c r="E38" s="14"/>
      <c r="F38" s="105"/>
      <c r="G38" s="32"/>
      <c r="H38" s="32"/>
      <c r="I38" s="103" t="s">
        <v>63</v>
      </c>
      <c r="J38" s="257">
        <f>F$37*COS(RADIANS(D$7))</f>
        <v>5101.5024587991147</v>
      </c>
      <c r="K38" s="32"/>
      <c r="L38" s="32"/>
      <c r="M38" s="19"/>
      <c r="N38" s="19"/>
      <c r="O38" s="19"/>
      <c r="P38" s="10"/>
      <c r="Q38" s="1"/>
    </row>
    <row r="39" spans="1:17" ht="5.0999999999999996" hidden="1" customHeight="1" thickBot="1" x14ac:dyDescent="0.35">
      <c r="A39" s="19"/>
      <c r="B39" s="243"/>
      <c r="C39" s="244"/>
      <c r="D39" s="245"/>
      <c r="E39" s="246"/>
      <c r="F39" s="247"/>
      <c r="G39" s="247"/>
      <c r="H39" s="255"/>
      <c r="I39" s="255"/>
      <c r="J39" s="258"/>
      <c r="K39" s="32"/>
      <c r="L39" s="32"/>
      <c r="M39" s="19"/>
      <c r="N39" s="19"/>
      <c r="O39" s="19"/>
      <c r="P39" s="10"/>
      <c r="Q39" s="1"/>
    </row>
    <row r="40" spans="1:17" ht="3" hidden="1" customHeight="1" thickTop="1" x14ac:dyDescent="0.3">
      <c r="A40" s="19"/>
      <c r="B40" s="32"/>
      <c r="C40" s="63"/>
      <c r="D40" s="11"/>
      <c r="E40" s="9"/>
      <c r="F40" s="7"/>
      <c r="G40" s="7"/>
      <c r="H40" s="65"/>
      <c r="I40" s="65"/>
      <c r="J40" s="65"/>
      <c r="K40" s="32"/>
      <c r="L40" s="32"/>
      <c r="M40" s="19"/>
      <c r="N40" s="19"/>
      <c r="O40" s="19"/>
      <c r="P40" s="10"/>
      <c r="Q40" s="1"/>
    </row>
    <row r="41" spans="1:17" ht="12.75" hidden="1" customHeight="1" thickBot="1" x14ac:dyDescent="0.35">
      <c r="A41" s="19"/>
      <c r="B41" s="32"/>
      <c r="C41" s="63"/>
      <c r="D41" s="11"/>
      <c r="E41" s="9"/>
      <c r="F41" s="7"/>
      <c r="G41" s="7"/>
      <c r="H41" s="65"/>
      <c r="I41" s="65"/>
      <c r="J41" s="65"/>
      <c r="K41" s="32"/>
      <c r="L41" s="32"/>
      <c r="M41" s="19"/>
      <c r="N41" s="19"/>
      <c r="O41" s="19"/>
      <c r="P41" s="10"/>
      <c r="Q41" s="1"/>
    </row>
    <row r="42" spans="1:17" ht="13.2" hidden="1" thickBot="1" x14ac:dyDescent="0.3">
      <c r="A42" s="19"/>
      <c r="B42" s="110" t="s">
        <v>106</v>
      </c>
      <c r="C42" s="111"/>
      <c r="D42" s="112"/>
      <c r="E42" s="112"/>
      <c r="F42" s="113"/>
      <c r="G42" s="114"/>
      <c r="H42" s="115"/>
      <c r="I42" s="116"/>
      <c r="J42" s="117"/>
      <c r="K42" s="112"/>
      <c r="L42" s="118"/>
      <c r="M42" s="19"/>
      <c r="N42" s="19"/>
      <c r="O42" s="19"/>
      <c r="P42" s="10"/>
      <c r="Q42" s="1"/>
    </row>
    <row r="43" spans="1:17" ht="20.100000000000001" hidden="1" customHeight="1" x14ac:dyDescent="0.25">
      <c r="A43" s="19"/>
      <c r="B43" s="119"/>
      <c r="C43" s="120"/>
      <c r="D43" s="19"/>
      <c r="E43" s="10" t="s">
        <v>37</v>
      </c>
      <c r="F43" s="121" t="s">
        <v>38</v>
      </c>
      <c r="G43" s="28" t="s">
        <v>60</v>
      </c>
      <c r="H43" s="10" t="s">
        <v>41</v>
      </c>
      <c r="I43" s="122"/>
      <c r="J43" s="19"/>
      <c r="K43" s="19"/>
      <c r="L43" s="48"/>
      <c r="M43" s="19"/>
      <c r="N43" s="19"/>
      <c r="O43" s="19"/>
      <c r="P43" s="10"/>
      <c r="Q43" s="1"/>
    </row>
    <row r="44" spans="1:17" ht="20.100000000000001" hidden="1" customHeight="1" x14ac:dyDescent="0.25">
      <c r="A44" s="19"/>
      <c r="B44" s="123"/>
      <c r="C44" s="15" t="s">
        <v>53</v>
      </c>
      <c r="D44" s="124"/>
      <c r="E44" s="125">
        <f>F37/(PI()*H20^2/4)</f>
        <v>75.002819082700583</v>
      </c>
      <c r="F44" s="125">
        <f>E20</f>
        <v>700</v>
      </c>
      <c r="G44" s="126">
        <f>E44/F44*100</f>
        <v>10.714688440385798</v>
      </c>
      <c r="H44" s="127" t="str">
        <f>IF(E44&gt;F44,"oui","non")</f>
        <v>non</v>
      </c>
      <c r="I44" s="120"/>
      <c r="J44" s="19"/>
      <c r="K44" s="19"/>
      <c r="L44" s="48"/>
      <c r="M44" s="124"/>
      <c r="N44" s="128"/>
      <c r="O44" s="19"/>
      <c r="P44" s="10"/>
      <c r="Q44" s="1"/>
    </row>
    <row r="45" spans="1:17" ht="12.75" hidden="1" customHeight="1" thickBot="1" x14ac:dyDescent="0.3">
      <c r="A45" s="19"/>
      <c r="B45" s="129"/>
      <c r="C45" s="130"/>
      <c r="D45" s="131"/>
      <c r="E45" s="132"/>
      <c r="F45" s="133"/>
      <c r="G45" s="82"/>
      <c r="H45" s="131"/>
      <c r="I45" s="134"/>
      <c r="J45" s="135"/>
      <c r="K45" s="135"/>
      <c r="L45" s="136"/>
      <c r="M45" s="19"/>
      <c r="N45" s="19"/>
      <c r="O45" s="19"/>
      <c r="P45" s="10"/>
      <c r="Q45" s="1"/>
    </row>
    <row r="46" spans="1:17" ht="3" hidden="1" customHeight="1" thickBot="1" x14ac:dyDescent="0.3">
      <c r="A46" s="19"/>
      <c r="B46" s="137"/>
      <c r="C46" s="138"/>
      <c r="D46" s="124"/>
      <c r="E46" s="139"/>
      <c r="F46" s="140"/>
      <c r="G46" s="65"/>
      <c r="H46" s="124"/>
      <c r="I46" s="141"/>
      <c r="J46" s="19"/>
      <c r="K46" s="19"/>
      <c r="L46" s="19"/>
      <c r="M46" s="19"/>
      <c r="N46" s="19"/>
      <c r="O46" s="19"/>
      <c r="P46" s="10"/>
      <c r="Q46" s="1"/>
    </row>
    <row r="47" spans="1:17" ht="12.75" hidden="1" customHeight="1" thickBot="1" x14ac:dyDescent="0.3">
      <c r="A47" s="19"/>
      <c r="B47" s="110" t="s">
        <v>107</v>
      </c>
      <c r="C47" s="111"/>
      <c r="D47" s="112"/>
      <c r="E47" s="112"/>
      <c r="F47" s="142"/>
      <c r="G47" s="143"/>
      <c r="H47" s="115"/>
      <c r="I47" s="116"/>
      <c r="J47" s="117"/>
      <c r="K47" s="112"/>
      <c r="L47" s="118"/>
      <c r="M47" s="19"/>
      <c r="N47" s="19"/>
      <c r="O47" s="19"/>
      <c r="P47" s="10"/>
      <c r="Q47" s="1"/>
    </row>
    <row r="48" spans="1:17" ht="20.100000000000001" hidden="1" customHeight="1" x14ac:dyDescent="0.25">
      <c r="A48" s="19"/>
      <c r="B48" s="119"/>
      <c r="C48" s="120"/>
      <c r="D48" s="19"/>
      <c r="E48" s="10" t="s">
        <v>37</v>
      </c>
      <c r="F48" s="121" t="s">
        <v>38</v>
      </c>
      <c r="G48" s="28" t="s">
        <v>60</v>
      </c>
      <c r="H48" s="10" t="s">
        <v>41</v>
      </c>
      <c r="I48" s="122"/>
      <c r="J48" s="19"/>
      <c r="K48" s="19"/>
      <c r="L48" s="48"/>
      <c r="M48" s="19"/>
      <c r="N48" s="19"/>
      <c r="O48" s="19"/>
      <c r="P48" s="19"/>
    </row>
    <row r="49" spans="1:16" ht="20.100000000000001" hidden="1" customHeight="1" x14ac:dyDescent="0.25">
      <c r="A49" s="19"/>
      <c r="B49" s="123"/>
      <c r="C49" s="15" t="s">
        <v>53</v>
      </c>
      <c r="D49" s="124"/>
      <c r="E49" s="125">
        <f>F37/(PI()*H20^2/4)*1.33*1/2</f>
        <v>49.876874689995887</v>
      </c>
      <c r="F49" s="125">
        <f>G21</f>
        <v>360</v>
      </c>
      <c r="G49" s="126">
        <f>E49/F49*100</f>
        <v>13.854687413887746</v>
      </c>
      <c r="H49" s="127" t="str">
        <f>IF(E49&gt;F49,"oui","non")</f>
        <v>non</v>
      </c>
      <c r="I49" s="120"/>
      <c r="J49" s="19"/>
      <c r="K49" s="19"/>
      <c r="L49" s="48"/>
      <c r="M49" s="19"/>
      <c r="N49" s="19"/>
      <c r="O49" s="19"/>
      <c r="P49" s="19"/>
    </row>
    <row r="50" spans="1:16" ht="20.100000000000001" hidden="1" customHeight="1" thickBot="1" x14ac:dyDescent="0.3">
      <c r="A50" s="19"/>
      <c r="B50" s="129"/>
      <c r="C50" s="130"/>
      <c r="D50" s="131"/>
      <c r="E50" s="132"/>
      <c r="F50" s="133"/>
      <c r="G50" s="82"/>
      <c r="H50" s="131"/>
      <c r="I50" s="134"/>
      <c r="J50" s="135"/>
      <c r="K50" s="135"/>
      <c r="L50" s="136"/>
      <c r="M50" s="19"/>
      <c r="N50" s="19"/>
      <c r="O50" s="19"/>
      <c r="P50" s="19"/>
    </row>
    <row r="51" spans="1:16" ht="3" hidden="1" customHeight="1" thickBot="1" x14ac:dyDescent="0.3">
      <c r="A51" s="19"/>
      <c r="B51" s="144"/>
      <c r="C51" s="145"/>
      <c r="D51" s="124"/>
      <c r="E51" s="32"/>
      <c r="F51" s="146"/>
      <c r="G51" s="140"/>
      <c r="H51" s="147"/>
      <c r="I51" s="148"/>
      <c r="J51" s="19"/>
      <c r="K51" s="19"/>
      <c r="L51" s="149"/>
      <c r="M51" s="19"/>
      <c r="N51" s="19"/>
      <c r="O51" s="19"/>
      <c r="P51" s="19"/>
    </row>
    <row r="52" spans="1:16" ht="12.75" hidden="1" customHeight="1" thickBot="1" x14ac:dyDescent="0.3">
      <c r="A52" s="19"/>
      <c r="B52" s="110" t="s">
        <v>104</v>
      </c>
      <c r="C52" s="111"/>
      <c r="D52" s="112"/>
      <c r="E52" s="112"/>
      <c r="F52" s="142"/>
      <c r="G52" s="143"/>
      <c r="H52" s="115"/>
      <c r="I52" s="116"/>
      <c r="J52" s="117"/>
      <c r="K52" s="112"/>
      <c r="L52" s="118"/>
      <c r="M52" s="19"/>
      <c r="N52" s="19"/>
      <c r="O52" s="19"/>
      <c r="P52" s="19"/>
    </row>
    <row r="53" spans="1:16" ht="20.100000000000001" hidden="1" customHeight="1" x14ac:dyDescent="0.25">
      <c r="A53" s="19"/>
      <c r="B53" s="150" t="s">
        <v>54</v>
      </c>
      <c r="C53" s="120"/>
      <c r="D53" s="19"/>
      <c r="E53" s="10" t="s">
        <v>37</v>
      </c>
      <c r="F53" s="121" t="s">
        <v>38</v>
      </c>
      <c r="G53" s="28" t="s">
        <v>60</v>
      </c>
      <c r="H53" s="10" t="s">
        <v>41</v>
      </c>
      <c r="I53" s="122"/>
      <c r="J53" s="19"/>
      <c r="K53" s="19"/>
      <c r="L53" s="48"/>
      <c r="M53" s="19"/>
      <c r="N53" s="19"/>
      <c r="O53" s="19"/>
      <c r="P53" s="19"/>
    </row>
    <row r="54" spans="1:16" ht="20.100000000000001" hidden="1" customHeight="1" x14ac:dyDescent="0.25">
      <c r="A54" s="19"/>
      <c r="B54" s="151"/>
      <c r="C54" s="152" t="s">
        <v>57</v>
      </c>
      <c r="D54" s="19"/>
      <c r="E54" s="100">
        <f>(G$26/(2*F$26)*COS(RADIANS(D$7))-1/2*SIN(RADIANS(D$7)))*F$37</f>
        <v>261.833927062096</v>
      </c>
      <c r="F54" s="121"/>
      <c r="G54" s="28"/>
      <c r="H54" s="10"/>
      <c r="I54" s="122"/>
      <c r="J54" s="19"/>
      <c r="K54" s="19"/>
      <c r="L54" s="48"/>
      <c r="M54" s="19"/>
      <c r="N54" s="19"/>
      <c r="O54" s="19"/>
      <c r="P54" s="19"/>
    </row>
    <row r="55" spans="1:16" ht="20.100000000000001" hidden="1" customHeight="1" x14ac:dyDescent="0.25">
      <c r="A55" s="19"/>
      <c r="B55" s="123"/>
      <c r="C55" s="63" t="s">
        <v>39</v>
      </c>
      <c r="D55" s="11"/>
      <c r="E55" s="30">
        <f>E54/(PI()*H$22^2/4)</f>
        <v>5.2090204701369203</v>
      </c>
      <c r="F55" s="125">
        <f>E$22</f>
        <v>700</v>
      </c>
      <c r="G55" s="126">
        <f>E55/F55*100</f>
        <v>0.74414578144813137</v>
      </c>
      <c r="H55" s="127" t="str">
        <f>IF(E55&gt;F55,"oui","non")</f>
        <v>non</v>
      </c>
      <c r="I55" s="19"/>
      <c r="J55" s="19"/>
      <c r="K55" s="19"/>
      <c r="L55" s="48"/>
      <c r="M55" s="19"/>
      <c r="N55" s="19"/>
      <c r="O55" s="19"/>
      <c r="P55" s="19"/>
    </row>
    <row r="56" spans="1:16" ht="20.100000000000001" hidden="1" customHeight="1" x14ac:dyDescent="0.25">
      <c r="A56" s="19"/>
      <c r="B56" s="123"/>
      <c r="C56" s="153" t="s">
        <v>58</v>
      </c>
      <c r="D56" s="11"/>
      <c r="E56" s="24">
        <v>0</v>
      </c>
      <c r="F56" s="154"/>
      <c r="G56" s="28"/>
      <c r="H56" s="127"/>
      <c r="I56" s="19"/>
      <c r="J56" s="19"/>
      <c r="K56" s="19"/>
      <c r="L56" s="48"/>
      <c r="M56" s="19"/>
      <c r="N56" s="19"/>
      <c r="O56" s="19"/>
      <c r="P56" s="19"/>
    </row>
    <row r="57" spans="1:16" ht="20.100000000000001" hidden="1" customHeight="1" x14ac:dyDescent="0.25">
      <c r="A57" s="19"/>
      <c r="B57" s="123"/>
      <c r="C57" s="63" t="s">
        <v>40</v>
      </c>
      <c r="D57" s="19"/>
      <c r="E57" s="125">
        <f>E56/(PI()*H$22^2/4)*1.33</f>
        <v>0</v>
      </c>
      <c r="F57" s="125">
        <f>G$22</f>
        <v>360</v>
      </c>
      <c r="G57" s="126">
        <f>E57/F57*100</f>
        <v>0</v>
      </c>
      <c r="H57" s="127" t="str">
        <f>IF(E57&gt;F57,"oui","non")</f>
        <v>non</v>
      </c>
      <c r="I57" s="120"/>
      <c r="J57" s="19"/>
      <c r="K57" s="19"/>
      <c r="L57" s="48"/>
      <c r="M57" s="19"/>
      <c r="N57" s="19"/>
      <c r="O57" s="19"/>
      <c r="P57" s="19"/>
    </row>
    <row r="58" spans="1:16" ht="20.100000000000001" hidden="1" customHeight="1" x14ac:dyDescent="0.25">
      <c r="A58" s="19"/>
      <c r="B58" s="123"/>
      <c r="C58" s="63"/>
      <c r="D58" s="124"/>
      <c r="E58" s="154"/>
      <c r="F58" s="154"/>
      <c r="G58" s="10"/>
      <c r="H58" s="127"/>
      <c r="I58" s="120"/>
      <c r="J58" s="19"/>
      <c r="K58" s="19"/>
      <c r="L58" s="48"/>
      <c r="M58" s="19"/>
      <c r="N58" s="19"/>
      <c r="O58" s="19"/>
      <c r="P58" s="19"/>
    </row>
    <row r="59" spans="1:16" ht="20.100000000000001" hidden="1" customHeight="1" x14ac:dyDescent="0.3">
      <c r="A59" s="19"/>
      <c r="B59" s="155"/>
      <c r="C59" s="15" t="s">
        <v>55</v>
      </c>
      <c r="D59" s="120"/>
      <c r="E59" s="125">
        <f>SQRT(E55^2+3*E57^2)</f>
        <v>5.2090204701369203</v>
      </c>
      <c r="F59" s="125">
        <f>F$22*0.9</f>
        <v>405</v>
      </c>
      <c r="G59" s="126">
        <f>E59/F59*100</f>
        <v>1.286177893860968</v>
      </c>
      <c r="H59" s="127" t="str">
        <f>IF(E59&gt;F59,"oui","non")</f>
        <v>non</v>
      </c>
      <c r="I59" s="19"/>
      <c r="J59" s="19"/>
      <c r="K59" s="19"/>
      <c r="L59" s="48"/>
      <c r="M59" s="19"/>
      <c r="N59" s="19"/>
      <c r="O59" s="19"/>
      <c r="P59" s="19"/>
    </row>
    <row r="60" spans="1:16" ht="20.100000000000001" hidden="1" customHeight="1" x14ac:dyDescent="0.3">
      <c r="A60" s="19"/>
      <c r="B60" s="155"/>
      <c r="C60" s="15"/>
      <c r="D60" s="120"/>
      <c r="E60" s="156"/>
      <c r="F60" s="156"/>
      <c r="G60" s="10"/>
      <c r="H60" s="157"/>
      <c r="I60" s="19"/>
      <c r="J60" s="19"/>
      <c r="K60" s="19"/>
      <c r="L60" s="48"/>
      <c r="M60" s="19"/>
      <c r="N60" s="19"/>
      <c r="O60" s="19"/>
      <c r="P60" s="19"/>
    </row>
    <row r="61" spans="1:16" ht="20.100000000000001" hidden="1" customHeight="1" x14ac:dyDescent="0.25">
      <c r="A61" s="19"/>
      <c r="B61" s="150" t="s">
        <v>56</v>
      </c>
      <c r="C61" s="124"/>
      <c r="D61" s="19"/>
      <c r="E61" s="10" t="s">
        <v>37</v>
      </c>
      <c r="F61" s="121" t="s">
        <v>38</v>
      </c>
      <c r="G61" s="28" t="s">
        <v>60</v>
      </c>
      <c r="H61" s="10" t="s">
        <v>41</v>
      </c>
      <c r="I61" s="141"/>
      <c r="J61" s="19"/>
      <c r="K61" s="19"/>
      <c r="L61" s="48"/>
      <c r="M61" s="19"/>
      <c r="N61" s="19"/>
      <c r="O61" s="19"/>
      <c r="P61" s="19"/>
    </row>
    <row r="62" spans="1:16" ht="20.100000000000001" hidden="1" customHeight="1" x14ac:dyDescent="0.25">
      <c r="A62" s="19"/>
      <c r="B62" s="151"/>
      <c r="C62" s="152" t="s">
        <v>57</v>
      </c>
      <c r="D62" s="19"/>
      <c r="E62" s="100">
        <f>ABS(-G$26/(2*F$26)*COS(RADIANS(D$7))-1/2*SIN(RADIANS(D$7)))*F$37</f>
        <v>3207.1877449213016</v>
      </c>
      <c r="F62" s="121"/>
      <c r="G62" s="28"/>
      <c r="H62" s="10"/>
      <c r="I62" s="141"/>
      <c r="J62" s="19"/>
      <c r="K62" s="19"/>
      <c r="L62" s="48"/>
      <c r="M62" s="19"/>
      <c r="N62" s="19"/>
      <c r="O62" s="19"/>
      <c r="P62" s="19"/>
    </row>
    <row r="63" spans="1:16" ht="20.100000000000001" hidden="1" customHeight="1" x14ac:dyDescent="0.25">
      <c r="A63" s="19"/>
      <c r="B63" s="123"/>
      <c r="C63" s="63" t="s">
        <v>39</v>
      </c>
      <c r="D63" s="11"/>
      <c r="E63" s="30">
        <f>E62/(PI()*H$22^2/4)</f>
        <v>63.804972878496741</v>
      </c>
      <c r="F63" s="125">
        <f>E$22</f>
        <v>700</v>
      </c>
      <c r="G63" s="126">
        <f>E63/F63*100</f>
        <v>9.114996125499534</v>
      </c>
      <c r="H63" s="127" t="str">
        <f>IF(E63&gt;F63,"oui","non")</f>
        <v>non</v>
      </c>
      <c r="I63" s="158"/>
      <c r="J63" s="19"/>
      <c r="K63" s="19"/>
      <c r="L63" s="48"/>
      <c r="M63" s="19"/>
      <c r="N63" s="19"/>
      <c r="O63" s="19"/>
      <c r="P63" s="19"/>
    </row>
    <row r="64" spans="1:16" ht="20.100000000000001" hidden="1" customHeight="1" x14ac:dyDescent="0.25">
      <c r="A64" s="19"/>
      <c r="B64" s="123"/>
      <c r="C64" s="153" t="s">
        <v>58</v>
      </c>
      <c r="D64" s="11"/>
      <c r="E64" s="24">
        <f>COS(RADIANS(D7))*F37</f>
        <v>5101.5024587991147</v>
      </c>
      <c r="F64" s="154"/>
      <c r="G64" s="28"/>
      <c r="H64" s="127"/>
      <c r="I64" s="159"/>
      <c r="J64" s="19"/>
      <c r="K64" s="19"/>
      <c r="L64" s="48"/>
      <c r="M64" s="19"/>
      <c r="N64" s="19"/>
      <c r="O64" s="19"/>
      <c r="P64" s="19"/>
    </row>
    <row r="65" spans="1:16" ht="20.100000000000001" hidden="1" customHeight="1" x14ac:dyDescent="0.25">
      <c r="A65" s="19"/>
      <c r="B65" s="123"/>
      <c r="C65" s="63" t="s">
        <v>40</v>
      </c>
      <c r="D65" s="19"/>
      <c r="E65" s="125">
        <f>E64/(PI()*H$22^2/4)*1.33</f>
        <v>134.98325169659233</v>
      </c>
      <c r="F65" s="125">
        <f>G$22</f>
        <v>360</v>
      </c>
      <c r="G65" s="126">
        <f>E65/F65*100</f>
        <v>37.49534769349787</v>
      </c>
      <c r="H65" s="127" t="str">
        <f>IF(E65&gt;F65,"oui","non")</f>
        <v>non</v>
      </c>
      <c r="I65" s="159"/>
      <c r="J65" s="19"/>
      <c r="K65" s="19"/>
      <c r="L65" s="48"/>
      <c r="M65" s="19"/>
      <c r="N65" s="19"/>
      <c r="O65" s="19"/>
      <c r="P65" s="19"/>
    </row>
    <row r="66" spans="1:16" ht="20.100000000000001" hidden="1" customHeight="1" x14ac:dyDescent="0.25">
      <c r="A66" s="19"/>
      <c r="B66" s="123"/>
      <c r="C66" s="63"/>
      <c r="D66" s="124"/>
      <c r="E66" s="154"/>
      <c r="F66" s="154"/>
      <c r="G66" s="10"/>
      <c r="H66" s="127"/>
      <c r="I66" s="159"/>
      <c r="J66" s="19"/>
      <c r="K66" s="19"/>
      <c r="L66" s="48"/>
      <c r="M66" s="19"/>
      <c r="N66" s="19"/>
      <c r="O66" s="19"/>
      <c r="P66" s="19"/>
    </row>
    <row r="67" spans="1:16" ht="20.100000000000001" hidden="1" customHeight="1" x14ac:dyDescent="0.3">
      <c r="A67" s="19"/>
      <c r="B67" s="155"/>
      <c r="C67" s="15" t="s">
        <v>59</v>
      </c>
      <c r="D67" s="120"/>
      <c r="E67" s="125">
        <f>SQRT(E63^2+3*E65^2)</f>
        <v>242.34790958409874</v>
      </c>
      <c r="F67" s="125">
        <f>F$22*0.9</f>
        <v>405</v>
      </c>
      <c r="G67" s="126">
        <f>E67/F67*100</f>
        <v>59.838990020765124</v>
      </c>
      <c r="H67" s="127" t="str">
        <f>IF(E67&gt;F67,"oui","non")</f>
        <v>non</v>
      </c>
      <c r="I67" s="159"/>
      <c r="J67" s="19"/>
      <c r="K67" s="19"/>
      <c r="L67" s="19"/>
      <c r="M67" s="43"/>
      <c r="N67" s="19"/>
      <c r="O67" s="19"/>
      <c r="P67" s="19"/>
    </row>
    <row r="68" spans="1:16" ht="13.2" hidden="1" thickBot="1" x14ac:dyDescent="0.3">
      <c r="A68" s="19"/>
      <c r="B68" s="129"/>
      <c r="C68" s="130"/>
      <c r="D68" s="131"/>
      <c r="E68" s="132"/>
      <c r="F68" s="133"/>
      <c r="G68" s="33"/>
      <c r="H68" s="131"/>
      <c r="I68" s="160"/>
      <c r="J68" s="135"/>
      <c r="K68" s="135"/>
      <c r="L68" s="135"/>
      <c r="M68" s="43"/>
      <c r="N68" s="19"/>
      <c r="O68" s="19"/>
      <c r="P68" s="19"/>
    </row>
    <row r="69" spans="1:16" ht="3" hidden="1" customHeight="1" thickBot="1" x14ac:dyDescent="0.3">
      <c r="A69" s="19"/>
      <c r="B69" s="161"/>
      <c r="C69" s="138"/>
      <c r="D69" s="124"/>
      <c r="E69" s="139"/>
      <c r="F69" s="140"/>
      <c r="G69" s="19"/>
      <c r="H69" s="124"/>
      <c r="I69" s="159"/>
      <c r="J69" s="19"/>
      <c r="K69" s="19"/>
      <c r="L69" s="19"/>
      <c r="M69" s="19"/>
      <c r="N69" s="19"/>
      <c r="O69" s="19"/>
      <c r="P69" s="19"/>
    </row>
    <row r="70" spans="1:16" ht="13.2" hidden="1" thickBot="1" x14ac:dyDescent="0.3">
      <c r="A70" s="19"/>
      <c r="B70" s="110" t="s">
        <v>108</v>
      </c>
      <c r="C70" s="111"/>
      <c r="D70" s="112"/>
      <c r="E70" s="112"/>
      <c r="F70" s="142"/>
      <c r="G70" s="114"/>
      <c r="H70" s="115"/>
      <c r="I70" s="116"/>
      <c r="J70" s="117"/>
      <c r="K70" s="112"/>
      <c r="L70" s="118"/>
      <c r="M70" s="19"/>
      <c r="N70" s="19"/>
      <c r="O70" s="19"/>
      <c r="P70" s="19"/>
    </row>
    <row r="71" spans="1:16" ht="20.100000000000001" hidden="1" customHeight="1" x14ac:dyDescent="0.25">
      <c r="A71" s="19"/>
      <c r="B71" s="123"/>
      <c r="C71" s="63"/>
      <c r="D71" s="11"/>
      <c r="E71" s="30"/>
      <c r="F71" s="125"/>
      <c r="G71" s="126"/>
      <c r="H71" s="127"/>
      <c r="I71" s="19"/>
      <c r="J71" s="19"/>
      <c r="K71" s="19"/>
      <c r="L71" s="48"/>
      <c r="M71" s="19"/>
      <c r="N71" s="19"/>
      <c r="O71" s="19"/>
      <c r="P71" s="19"/>
    </row>
    <row r="72" spans="1:16" ht="20.100000000000001" hidden="1" customHeight="1" x14ac:dyDescent="0.25">
      <c r="A72" s="19"/>
      <c r="B72" s="162" t="s">
        <v>65</v>
      </c>
      <c r="C72" s="63"/>
      <c r="D72" s="11"/>
      <c r="E72" s="10" t="s">
        <v>37</v>
      </c>
      <c r="F72" s="121" t="s">
        <v>38</v>
      </c>
      <c r="G72" s="28" t="s">
        <v>60</v>
      </c>
      <c r="H72" s="10" t="s">
        <v>41</v>
      </c>
      <c r="I72" s="19"/>
      <c r="J72" s="19"/>
      <c r="K72" s="19"/>
      <c r="L72" s="48"/>
      <c r="M72" s="19"/>
      <c r="N72" s="19"/>
      <c r="O72" s="19"/>
      <c r="P72" s="19"/>
    </row>
    <row r="73" spans="1:16" ht="20.100000000000001" hidden="1" customHeight="1" x14ac:dyDescent="0.25">
      <c r="A73" s="19"/>
      <c r="B73" s="123"/>
      <c r="C73" s="63" t="s">
        <v>39</v>
      </c>
      <c r="D73" s="19"/>
      <c r="E73" s="125">
        <f>1/(2*E26*I26)*COS(RADIANS(D$7))*F37*1.5</f>
        <v>23.691187889159977</v>
      </c>
      <c r="F73" s="125">
        <f>G24</f>
        <v>96</v>
      </c>
      <c r="G73" s="126">
        <f>E73/F73*100</f>
        <v>24.678320717874978</v>
      </c>
      <c r="H73" s="127" t="str">
        <f>IF(E73&gt;F73,"oui","non")</f>
        <v>non</v>
      </c>
      <c r="I73" s="120"/>
      <c r="J73" s="19"/>
      <c r="K73" s="19"/>
      <c r="L73" s="48"/>
      <c r="M73" s="19"/>
      <c r="N73" s="19"/>
      <c r="O73" s="19"/>
      <c r="P73" s="19"/>
    </row>
    <row r="74" spans="1:16" ht="20.100000000000001" hidden="1" customHeight="1" x14ac:dyDescent="0.25">
      <c r="A74" s="19"/>
      <c r="B74" s="123"/>
      <c r="C74" s="63" t="s">
        <v>40</v>
      </c>
      <c r="D74" s="19"/>
      <c r="E74" s="125">
        <f>1/(2*E26*I26)*SIN(RADIANS(D$7))*F37</f>
        <v>9.1187424701523412</v>
      </c>
      <c r="F74" s="125">
        <f>E24</f>
        <v>160</v>
      </c>
      <c r="G74" s="126">
        <f>E74/F74*100</f>
        <v>5.6992140438452132</v>
      </c>
      <c r="H74" s="127" t="str">
        <f>IF(E74&gt;F74,"oui","non")</f>
        <v>non</v>
      </c>
      <c r="I74" s="120"/>
      <c r="J74" s="19"/>
      <c r="K74" s="19"/>
      <c r="L74" s="48"/>
      <c r="M74" s="19"/>
      <c r="N74" s="19"/>
      <c r="O74" s="19"/>
      <c r="P74" s="19"/>
    </row>
    <row r="75" spans="1:16" ht="20.100000000000001" hidden="1" customHeight="1" x14ac:dyDescent="0.25">
      <c r="A75" s="19"/>
      <c r="B75" s="123"/>
      <c r="C75" s="63" t="s">
        <v>67</v>
      </c>
      <c r="D75" s="120"/>
      <c r="E75" s="125">
        <f>SQRT(3*E$73^2+E$74^2)</f>
        <v>42.03532579908714</v>
      </c>
      <c r="F75" s="125">
        <f>F24*0.9</f>
        <v>108</v>
      </c>
      <c r="G75" s="126">
        <f>E75/F75*100</f>
        <v>38.921597962117723</v>
      </c>
      <c r="H75" s="127" t="str">
        <f>IF(E75&gt;F75,"oui","non")</f>
        <v>non</v>
      </c>
      <c r="I75" s="120"/>
      <c r="J75" s="19"/>
      <c r="K75" s="19"/>
      <c r="L75" s="48"/>
      <c r="M75" s="19"/>
      <c r="N75" s="19"/>
      <c r="O75" s="19"/>
      <c r="P75" s="19"/>
    </row>
    <row r="76" spans="1:16" ht="20.100000000000001" hidden="1" customHeight="1" x14ac:dyDescent="0.25">
      <c r="A76" s="19"/>
      <c r="B76" s="123"/>
      <c r="C76" s="63"/>
      <c r="D76" s="120"/>
      <c r="E76" s="125"/>
      <c r="F76" s="125"/>
      <c r="G76" s="126"/>
      <c r="H76" s="127"/>
      <c r="I76" s="120"/>
      <c r="J76" s="19"/>
      <c r="K76" s="19"/>
      <c r="L76" s="48"/>
      <c r="M76" s="19"/>
      <c r="N76" s="19"/>
      <c r="O76" s="19"/>
      <c r="P76" s="19"/>
    </row>
    <row r="77" spans="1:16" ht="20.100000000000001" hidden="1" customHeight="1" x14ac:dyDescent="0.25">
      <c r="A77" s="19"/>
      <c r="B77" s="162" t="s">
        <v>66</v>
      </c>
      <c r="C77" s="120"/>
      <c r="D77" s="19"/>
      <c r="E77" s="10" t="s">
        <v>37</v>
      </c>
      <c r="F77" s="121" t="s">
        <v>38</v>
      </c>
      <c r="G77" s="28" t="s">
        <v>60</v>
      </c>
      <c r="H77" s="10" t="s">
        <v>41</v>
      </c>
      <c r="I77" s="122"/>
      <c r="J77" s="19"/>
      <c r="K77" s="19"/>
      <c r="L77" s="48"/>
      <c r="M77" s="19"/>
      <c r="N77" s="19"/>
      <c r="O77" s="19"/>
      <c r="P77" s="19"/>
    </row>
    <row r="78" spans="1:16" ht="20.100000000000001" hidden="1" customHeight="1" x14ac:dyDescent="0.25">
      <c r="B78" s="123"/>
      <c r="C78" s="63" t="s">
        <v>39</v>
      </c>
      <c r="D78" s="11"/>
      <c r="E78" s="30">
        <f>(1/(2*E26*I26)*(3*G26/E26*COS(RADIANS(D$7))+SIN(RADIANS(D$7)))*F37)</f>
        <v>80.192306137632272</v>
      </c>
      <c r="F78" s="125">
        <f>E24</f>
        <v>160</v>
      </c>
      <c r="G78" s="126">
        <f>E78/F78*100</f>
        <v>50.12019133602017</v>
      </c>
      <c r="H78" s="127" t="str">
        <f>IF(E78&gt;F78,"oui","non")</f>
        <v>non</v>
      </c>
      <c r="I78" s="19"/>
      <c r="J78" s="19"/>
      <c r="K78" s="19"/>
      <c r="L78" s="48"/>
    </row>
    <row r="79" spans="1:16" ht="20.100000000000001" hidden="1" customHeight="1" x14ac:dyDescent="0.25">
      <c r="B79" s="123"/>
      <c r="C79" s="63" t="s">
        <v>40</v>
      </c>
      <c r="D79" s="19"/>
      <c r="E79" s="125">
        <f>6*E62*(F26-E26)/(J26*H26^2)+E64/(J26*H26)</f>
        <v>20.168104779880721</v>
      </c>
      <c r="F79" s="125">
        <f>E24</f>
        <v>160</v>
      </c>
      <c r="G79" s="126">
        <f>E79/F79*100</f>
        <v>12.605065487425451</v>
      </c>
      <c r="H79" s="127" t="str">
        <f>IF(E79&gt;F79,"oui","non")</f>
        <v>non</v>
      </c>
      <c r="I79" s="19"/>
      <c r="J79" s="19"/>
      <c r="K79" s="19"/>
      <c r="L79" s="48"/>
    </row>
    <row r="80" spans="1:16" ht="20.100000000000001" hidden="1" customHeight="1" x14ac:dyDescent="0.25">
      <c r="B80" s="123"/>
      <c r="C80" s="63" t="s">
        <v>67</v>
      </c>
      <c r="D80" s="120"/>
      <c r="E80" s="125">
        <f>SQRT(E$78^2+E$79^2)</f>
        <v>82.68953025676214</v>
      </c>
      <c r="F80" s="125">
        <f>F24*0.9</f>
        <v>108</v>
      </c>
      <c r="G80" s="126">
        <f>E80/F80*100</f>
        <v>76.564379867372352</v>
      </c>
      <c r="H80" s="127" t="str">
        <f>IF(E80&gt;F80,"oui","non")</f>
        <v>non</v>
      </c>
      <c r="I80" s="19"/>
      <c r="J80" s="19"/>
      <c r="K80" s="19"/>
      <c r="L80" s="48"/>
    </row>
    <row r="81" spans="2:12" ht="20.100000000000001" hidden="1" customHeight="1" x14ac:dyDescent="0.25">
      <c r="B81" s="123"/>
      <c r="C81" s="63"/>
      <c r="D81" s="120"/>
      <c r="E81" s="125"/>
      <c r="F81" s="125"/>
      <c r="G81" s="126"/>
      <c r="H81" s="127"/>
      <c r="I81" s="19"/>
      <c r="J81" s="19"/>
      <c r="K81" s="19"/>
      <c r="L81" s="48"/>
    </row>
    <row r="82" spans="2:12" ht="20.100000000000001" hidden="1" customHeight="1" x14ac:dyDescent="0.25">
      <c r="B82" s="162" t="s">
        <v>68</v>
      </c>
      <c r="C82" s="63"/>
      <c r="D82" s="11"/>
      <c r="E82" s="10" t="s">
        <v>37</v>
      </c>
      <c r="F82" s="121" t="s">
        <v>38</v>
      </c>
      <c r="G82" s="28" t="s">
        <v>60</v>
      </c>
      <c r="H82" s="10" t="s">
        <v>41</v>
      </c>
      <c r="I82" s="19"/>
      <c r="J82" s="19"/>
      <c r="K82" s="19"/>
      <c r="L82" s="48"/>
    </row>
    <row r="83" spans="2:12" ht="20.100000000000001" hidden="1" customHeight="1" x14ac:dyDescent="0.25">
      <c r="B83" s="123"/>
      <c r="C83" s="63" t="s">
        <v>39</v>
      </c>
      <c r="D83" s="19"/>
      <c r="E83" s="125">
        <f>E62/(J26*H26)*1.5</f>
        <v>4.7164525660607381</v>
      </c>
      <c r="F83" s="125">
        <f>$F$73</f>
        <v>96</v>
      </c>
      <c r="G83" s="126">
        <f>E83/F83*100</f>
        <v>4.9129714229799362</v>
      </c>
      <c r="H83" s="127" t="str">
        <f>IF(E83&gt;F83,"oui","non")</f>
        <v>non</v>
      </c>
      <c r="I83" s="120"/>
      <c r="J83" s="19"/>
      <c r="K83" s="19"/>
      <c r="L83" s="48"/>
    </row>
    <row r="84" spans="2:12" ht="20.100000000000001" hidden="1" customHeight="1" x14ac:dyDescent="0.25">
      <c r="B84" s="123"/>
      <c r="C84" s="63" t="s">
        <v>40</v>
      </c>
      <c r="D84" s="19"/>
      <c r="E84" s="125">
        <f>E64/(H26*J26)</f>
        <v>5.0014729988226616</v>
      </c>
      <c r="F84" s="125">
        <f>$F$74</f>
        <v>160</v>
      </c>
      <c r="G84" s="126">
        <f>E84/F84*100</f>
        <v>3.1259206242641633</v>
      </c>
      <c r="H84" s="127" t="str">
        <f>IF(E84&gt;F84,"oui","non")</f>
        <v>non</v>
      </c>
      <c r="I84" s="120"/>
      <c r="J84" s="19"/>
      <c r="K84" s="19"/>
      <c r="L84" s="48"/>
    </row>
    <row r="85" spans="2:12" ht="20.100000000000001" hidden="1" customHeight="1" x14ac:dyDescent="0.25">
      <c r="B85" s="123"/>
      <c r="C85" s="63" t="s">
        <v>67</v>
      </c>
      <c r="D85" s="120"/>
      <c r="E85" s="125">
        <f>SQRT(3*E83^2+E84^2)</f>
        <v>9.5785962740714208</v>
      </c>
      <c r="F85" s="125">
        <f>$F$75</f>
        <v>108</v>
      </c>
      <c r="G85" s="126">
        <f>E85/F85*100</f>
        <v>8.8690706241402051</v>
      </c>
      <c r="H85" s="127" t="str">
        <f>IF(E85&gt;F85,"oui","non")</f>
        <v>non</v>
      </c>
      <c r="I85" s="120"/>
      <c r="J85" s="19"/>
      <c r="K85" s="19"/>
      <c r="L85" s="48"/>
    </row>
    <row r="86" spans="2:12" ht="20.100000000000001" hidden="1" customHeight="1" thickBot="1" x14ac:dyDescent="0.3">
      <c r="B86" s="129"/>
      <c r="C86" s="130"/>
      <c r="D86" s="131"/>
      <c r="E86" s="132"/>
      <c r="F86" s="133"/>
      <c r="G86" s="33"/>
      <c r="H86" s="131"/>
      <c r="I86" s="134"/>
      <c r="J86" s="135"/>
      <c r="K86" s="135"/>
      <c r="L86" s="136"/>
    </row>
    <row r="87" spans="2:12" ht="20.100000000000001" customHeight="1" thickTop="1" x14ac:dyDescent="0.25">
      <c r="B87" s="163"/>
      <c r="C87" s="124"/>
      <c r="D87" s="159"/>
      <c r="E87" s="164"/>
      <c r="F87" s="140"/>
      <c r="G87" s="165"/>
      <c r="H87" s="159"/>
      <c r="I87" s="159"/>
      <c r="J87" s="19"/>
      <c r="K87" s="19"/>
      <c r="L87" s="19"/>
    </row>
    <row r="88" spans="2:12" x14ac:dyDescent="0.25">
      <c r="B88" s="166"/>
      <c r="C88" s="124"/>
      <c r="D88" s="159"/>
      <c r="E88" s="164"/>
      <c r="F88" s="140"/>
      <c r="G88" s="165"/>
      <c r="H88" s="159"/>
      <c r="I88" s="159"/>
      <c r="J88" s="19"/>
      <c r="K88" s="19"/>
      <c r="L88" s="19"/>
    </row>
    <row r="89" spans="2:12" x14ac:dyDescent="0.25">
      <c r="B89" s="166"/>
      <c r="C89" s="124"/>
      <c r="D89" s="159"/>
      <c r="E89" s="159"/>
      <c r="F89" s="159"/>
      <c r="G89" s="159"/>
      <c r="H89" s="159"/>
      <c r="I89" s="159"/>
      <c r="J89" s="19"/>
      <c r="K89" s="19"/>
      <c r="L89" s="19"/>
    </row>
    <row r="90" spans="2:12" x14ac:dyDescent="0.25">
      <c r="B90" s="166"/>
      <c r="C90" s="124"/>
      <c r="D90" s="167"/>
      <c r="E90" s="159"/>
      <c r="F90" s="167"/>
      <c r="G90" s="159"/>
      <c r="H90" s="167"/>
      <c r="I90" s="159"/>
      <c r="J90" s="19"/>
      <c r="K90" s="19"/>
      <c r="L90" s="19"/>
    </row>
    <row r="91" spans="2:12" x14ac:dyDescent="0.25">
      <c r="B91" s="166"/>
      <c r="C91" s="124"/>
      <c r="D91" s="159"/>
      <c r="E91" s="159"/>
      <c r="F91" s="159"/>
      <c r="G91" s="159"/>
      <c r="H91" s="159"/>
      <c r="I91" s="159"/>
      <c r="J91" s="19"/>
      <c r="K91" s="19"/>
      <c r="L91" s="19"/>
    </row>
    <row r="92" spans="2:12" x14ac:dyDescent="0.25">
      <c r="B92" s="163"/>
      <c r="C92" s="124"/>
      <c r="D92" s="159"/>
      <c r="E92" s="159"/>
      <c r="F92" s="140"/>
      <c r="G92" s="140"/>
      <c r="H92" s="159"/>
      <c r="I92" s="159"/>
      <c r="J92" s="19"/>
      <c r="K92" s="19"/>
      <c r="L92" s="19"/>
    </row>
    <row r="93" spans="2:12" x14ac:dyDescent="0.25">
      <c r="B93" s="166"/>
      <c r="C93" s="124"/>
      <c r="D93" s="159"/>
      <c r="E93" s="159"/>
      <c r="F93" s="159"/>
      <c r="G93" s="159"/>
      <c r="H93" s="159"/>
      <c r="I93" s="159"/>
      <c r="J93" s="19"/>
      <c r="K93" s="19"/>
      <c r="L93" s="19"/>
    </row>
    <row r="94" spans="2:12" x14ac:dyDescent="0.25">
      <c r="B94" s="166"/>
      <c r="C94" s="124"/>
      <c r="D94" s="159"/>
      <c r="E94" s="159"/>
      <c r="F94" s="159"/>
      <c r="G94" s="159"/>
      <c r="H94" s="159"/>
      <c r="K94" s="19"/>
      <c r="L94" s="19"/>
    </row>
    <row r="95" spans="2:12" x14ac:dyDescent="0.25">
      <c r="B95" s="166"/>
      <c r="C95" s="124"/>
      <c r="D95" s="167"/>
      <c r="E95" s="159"/>
      <c r="F95" s="167"/>
      <c r="G95" s="159"/>
      <c r="H95" s="167"/>
    </row>
    <row r="96" spans="2:12" x14ac:dyDescent="0.25">
      <c r="B96" s="166"/>
      <c r="C96" s="124"/>
      <c r="D96" s="159"/>
      <c r="E96" s="159"/>
      <c r="F96" s="159"/>
      <c r="G96" s="159"/>
      <c r="H96" s="159"/>
      <c r="I96" s="168"/>
    </row>
    <row r="97" spans="2:9" x14ac:dyDescent="0.25">
      <c r="B97" s="163"/>
      <c r="C97" s="124"/>
      <c r="D97" s="159"/>
      <c r="E97" s="159"/>
      <c r="F97" s="159"/>
      <c r="G97" s="159"/>
      <c r="H97" s="159"/>
      <c r="I97" s="168"/>
    </row>
    <row r="98" spans="2:9" x14ac:dyDescent="0.25">
      <c r="B98" s="166"/>
      <c r="C98" s="124"/>
      <c r="D98" s="159"/>
      <c r="E98" s="159"/>
      <c r="F98" s="159"/>
      <c r="G98" s="159"/>
      <c r="H98" s="159"/>
      <c r="I98" s="168"/>
    </row>
    <row r="99" spans="2:9" x14ac:dyDescent="0.25">
      <c r="B99" s="166"/>
      <c r="C99" s="124"/>
      <c r="D99" s="159"/>
      <c r="E99" s="159"/>
      <c r="F99" s="159"/>
      <c r="G99" s="159"/>
      <c r="H99" s="159"/>
      <c r="I99" s="168"/>
    </row>
    <row r="100" spans="2:9" x14ac:dyDescent="0.25">
      <c r="B100" s="166"/>
      <c r="C100" s="124"/>
      <c r="D100" s="167"/>
      <c r="E100" s="159"/>
      <c r="F100" s="167"/>
      <c r="G100" s="159"/>
      <c r="H100" s="167"/>
      <c r="I100" s="168"/>
    </row>
    <row r="101" spans="2:9" x14ac:dyDescent="0.25">
      <c r="I101" s="168"/>
    </row>
    <row r="102" spans="2:9" x14ac:dyDescent="0.25">
      <c r="I102" s="168"/>
    </row>
    <row r="103" spans="2:9" x14ac:dyDescent="0.25">
      <c r="B103" s="169"/>
      <c r="C103" s="103"/>
      <c r="D103" s="168"/>
      <c r="E103" s="168"/>
      <c r="F103" s="168"/>
      <c r="G103" s="168"/>
      <c r="H103" s="168"/>
      <c r="I103" s="168"/>
    </row>
    <row r="104" spans="2:9" x14ac:dyDescent="0.25">
      <c r="B104" s="169"/>
      <c r="C104" s="103"/>
      <c r="D104" s="168"/>
      <c r="E104" s="168"/>
      <c r="F104" s="168"/>
      <c r="G104" s="168"/>
      <c r="H104" s="168"/>
      <c r="I104" s="168"/>
    </row>
    <row r="105" spans="2:9" x14ac:dyDescent="0.25">
      <c r="B105" s="169"/>
      <c r="C105" s="103"/>
      <c r="D105" s="170"/>
      <c r="E105" s="168"/>
      <c r="F105" s="170"/>
      <c r="G105" s="168"/>
      <c r="H105" s="170"/>
      <c r="I105" s="168"/>
    </row>
    <row r="106" spans="2:9" x14ac:dyDescent="0.25">
      <c r="B106" s="169"/>
      <c r="C106" s="103"/>
      <c r="D106" s="168"/>
      <c r="E106" s="168"/>
      <c r="F106" s="168"/>
      <c r="G106" s="168"/>
      <c r="H106" s="168"/>
      <c r="I106" s="168"/>
    </row>
    <row r="107" spans="2:9" x14ac:dyDescent="0.25">
      <c r="B107" s="171"/>
      <c r="C107" s="103"/>
      <c r="D107" s="168"/>
      <c r="E107" s="168"/>
      <c r="F107" s="168"/>
      <c r="G107" s="168"/>
      <c r="H107" s="168"/>
      <c r="I107" s="168"/>
    </row>
    <row r="108" spans="2:9" x14ac:dyDescent="0.25">
      <c r="B108" s="169"/>
      <c r="C108" s="103"/>
      <c r="D108" s="168"/>
      <c r="E108" s="168"/>
      <c r="F108" s="168"/>
      <c r="G108" s="168"/>
      <c r="H108" s="168"/>
    </row>
    <row r="109" spans="2:9" x14ac:dyDescent="0.25">
      <c r="B109" s="169"/>
      <c r="C109" s="103"/>
      <c r="D109" s="168"/>
      <c r="E109" s="168"/>
      <c r="F109" s="168"/>
      <c r="G109" s="168"/>
      <c r="H109" s="168"/>
    </row>
    <row r="110" spans="2:9" x14ac:dyDescent="0.25">
      <c r="B110" s="169"/>
      <c r="C110" s="103"/>
      <c r="D110" s="65"/>
      <c r="E110" s="168"/>
      <c r="F110" s="65"/>
      <c r="G110" s="168"/>
      <c r="H110" s="65"/>
    </row>
    <row r="111" spans="2:9" x14ac:dyDescent="0.25">
      <c r="B111" s="169"/>
      <c r="C111" s="103"/>
      <c r="D111" s="168"/>
      <c r="E111" s="168"/>
      <c r="F111" s="168"/>
      <c r="G111" s="168"/>
      <c r="H111" s="168"/>
    </row>
    <row r="112" spans="2:9" x14ac:dyDescent="0.25">
      <c r="B112" s="171"/>
      <c r="C112" s="103"/>
      <c r="D112" s="168"/>
      <c r="E112" s="168"/>
      <c r="F112" s="168"/>
      <c r="G112" s="168"/>
      <c r="H112" s="168"/>
    </row>
    <row r="113" spans="2:8" x14ac:dyDescent="0.25">
      <c r="B113" s="169"/>
      <c r="C113" s="103"/>
      <c r="D113" s="168"/>
      <c r="E113" s="168"/>
      <c r="F113" s="168"/>
      <c r="G113" s="168"/>
      <c r="H113" s="168"/>
    </row>
    <row r="114" spans="2:8" x14ac:dyDescent="0.25">
      <c r="B114" s="169"/>
      <c r="C114" s="103"/>
      <c r="D114" s="168"/>
      <c r="E114" s="168"/>
      <c r="F114" s="168"/>
      <c r="G114" s="168"/>
      <c r="H114" s="168"/>
    </row>
    <row r="161" spans="2:10" hidden="1" x14ac:dyDescent="0.25"/>
    <row r="162" spans="2:10" hidden="1" x14ac:dyDescent="0.25"/>
    <row r="163" spans="2:10" hidden="1" x14ac:dyDescent="0.25"/>
    <row r="164" spans="2:10" ht="13.2" hidden="1" thickBot="1" x14ac:dyDescent="0.3"/>
    <row r="165" spans="2:10" hidden="1" x14ac:dyDescent="0.25">
      <c r="I165" s="172" t="s">
        <v>21</v>
      </c>
      <c r="J165" s="173">
        <v>4.7999999999999996E-3</v>
      </c>
    </row>
    <row r="166" spans="2:10" hidden="1" x14ac:dyDescent="0.25">
      <c r="I166" s="122"/>
      <c r="J166" s="174"/>
    </row>
    <row r="167" spans="2:10" hidden="1" x14ac:dyDescent="0.25">
      <c r="I167" s="19"/>
      <c r="J167" s="174"/>
    </row>
    <row r="168" spans="2:10" hidden="1" x14ac:dyDescent="0.25">
      <c r="I168" s="120"/>
      <c r="J168" s="174"/>
    </row>
    <row r="169" spans="2:10" hidden="1" x14ac:dyDescent="0.25">
      <c r="I169" s="120"/>
      <c r="J169" s="174"/>
    </row>
    <row r="170" spans="2:10" hidden="1" x14ac:dyDescent="0.25">
      <c r="I170" s="120"/>
      <c r="J170" s="174"/>
    </row>
    <row r="171" spans="2:10" ht="13.2" hidden="1" thickBot="1" x14ac:dyDescent="0.3">
      <c r="I171" s="19"/>
      <c r="J171" s="174"/>
    </row>
    <row r="172" spans="2:10" ht="13.2" hidden="1" thickBot="1" x14ac:dyDescent="0.3">
      <c r="B172" s="175" t="s">
        <v>30</v>
      </c>
      <c r="C172" s="176" t="s">
        <v>11</v>
      </c>
      <c r="D172" s="95">
        <v>5</v>
      </c>
      <c r="E172" s="95"/>
      <c r="F172" s="177" t="s">
        <v>13</v>
      </c>
      <c r="G172" s="178">
        <f>2.5*D172</f>
        <v>12.5</v>
      </c>
      <c r="H172" s="179"/>
      <c r="I172" s="141"/>
      <c r="J172" s="174"/>
    </row>
    <row r="173" spans="2:10" hidden="1" x14ac:dyDescent="0.25">
      <c r="B173" s="120"/>
      <c r="C173" s="180" t="s">
        <v>12</v>
      </c>
      <c r="D173" s="19">
        <v>0.7</v>
      </c>
      <c r="E173" s="120"/>
      <c r="F173" s="181" t="s">
        <v>14</v>
      </c>
      <c r="G173" s="182">
        <f>35*D172*D173</f>
        <v>122.49999999999999</v>
      </c>
      <c r="H173" s="183"/>
      <c r="I173" s="148"/>
      <c r="J173" s="174"/>
    </row>
    <row r="174" spans="2:10" hidden="1" x14ac:dyDescent="0.25">
      <c r="B174" s="184"/>
      <c r="C174" s="185"/>
      <c r="D174" s="19"/>
      <c r="E174" s="19"/>
      <c r="F174" s="186" t="s">
        <v>15</v>
      </c>
      <c r="G174" s="182">
        <f>D172*D173*80</f>
        <v>280</v>
      </c>
      <c r="H174" s="19"/>
      <c r="I174" s="187"/>
      <c r="J174" s="174"/>
    </row>
    <row r="175" spans="2:10" hidden="1" x14ac:dyDescent="0.25">
      <c r="B175" s="184"/>
      <c r="C175" s="185"/>
      <c r="D175" s="19"/>
      <c r="E175" s="188"/>
      <c r="F175" s="10"/>
      <c r="G175" s="189">
        <f>SUM(G172:G174)</f>
        <v>415</v>
      </c>
      <c r="H175" s="148"/>
      <c r="I175" s="159"/>
      <c r="J175" s="174"/>
    </row>
    <row r="176" spans="2:10" hidden="1" x14ac:dyDescent="0.25">
      <c r="B176" s="184"/>
      <c r="C176" s="185"/>
      <c r="D176" s="124"/>
      <c r="E176" s="19"/>
      <c r="F176" s="124"/>
      <c r="G176" s="190"/>
      <c r="H176" s="148"/>
      <c r="I176" s="159"/>
      <c r="J176" s="174"/>
    </row>
    <row r="177" spans="2:10" hidden="1" x14ac:dyDescent="0.25">
      <c r="B177" s="184"/>
      <c r="C177" s="185"/>
      <c r="D177" s="148"/>
      <c r="E177" s="120"/>
      <c r="F177" s="186" t="s">
        <v>16</v>
      </c>
      <c r="G177" s="187">
        <f>G175*5</f>
        <v>2075</v>
      </c>
      <c r="H177" s="148"/>
      <c r="I177" s="159"/>
      <c r="J177" s="174"/>
    </row>
    <row r="178" spans="2:10" ht="16.2" hidden="1" thickBot="1" x14ac:dyDescent="0.35">
      <c r="B178" s="191"/>
      <c r="C178" s="192"/>
      <c r="D178" s="120"/>
      <c r="E178" s="120"/>
      <c r="F178" s="19" t="s">
        <v>18</v>
      </c>
      <c r="G178" s="19" t="s">
        <v>19</v>
      </c>
      <c r="H178" s="19"/>
      <c r="I178" s="193"/>
      <c r="J178" s="194"/>
    </row>
    <row r="179" spans="2:10" hidden="1" x14ac:dyDescent="0.25">
      <c r="B179" s="161"/>
      <c r="C179" s="195"/>
      <c r="D179" s="124" t="s">
        <v>17</v>
      </c>
      <c r="E179" s="139"/>
      <c r="F179" s="158">
        <f>G177*2/(PI()*(0.0048)^2)</f>
        <v>57334463.006194949</v>
      </c>
      <c r="G179" s="158">
        <f>16*7.8/(PI()*(0.0048)^3)</f>
        <v>359203864.61712497</v>
      </c>
      <c r="H179" s="124"/>
      <c r="I179" s="159"/>
      <c r="J179" s="19"/>
    </row>
    <row r="180" spans="2:10" ht="13.2" hidden="1" thickBot="1" x14ac:dyDescent="0.3">
      <c r="B180" s="144"/>
      <c r="C180" s="196"/>
      <c r="D180" s="124" t="s">
        <v>20</v>
      </c>
      <c r="E180" s="32">
        <v>4.4000000000000004</v>
      </c>
      <c r="F180" s="197">
        <f>16*E180/(PI()*J165^3)</f>
        <v>202627821.06607053</v>
      </c>
      <c r="G180" s="158">
        <f>16*7.8/(PI()*(0.0048)^3)</f>
        <v>359203864.61712497</v>
      </c>
      <c r="H180" s="147"/>
      <c r="I180" s="159"/>
      <c r="J180" s="19"/>
    </row>
    <row r="181" spans="2:10" hidden="1" x14ac:dyDescent="0.25">
      <c r="B181" s="19"/>
      <c r="C181" s="196"/>
      <c r="D181" s="124" t="s">
        <v>22</v>
      </c>
      <c r="E181" s="124">
        <v>4200</v>
      </c>
      <c r="F181" s="158">
        <f>4*E181/(PI()*J165^2)</f>
        <v>232100958.67568076</v>
      </c>
      <c r="G181" s="158">
        <v>700000000</v>
      </c>
      <c r="H181" s="187"/>
      <c r="I181" s="198">
        <v>0.06</v>
      </c>
      <c r="J181" s="96"/>
    </row>
    <row r="182" spans="2:10" hidden="1" x14ac:dyDescent="0.25">
      <c r="B182" s="19"/>
      <c r="C182" s="199"/>
      <c r="D182" s="159"/>
      <c r="E182" s="159"/>
      <c r="F182" s="159"/>
      <c r="G182" s="159"/>
      <c r="H182" s="159"/>
      <c r="I182" s="158">
        <v>5.7000000000000002E-3</v>
      </c>
      <c r="J182" s="174"/>
    </row>
    <row r="183" spans="2:10" hidden="1" x14ac:dyDescent="0.25">
      <c r="B183" s="163"/>
      <c r="C183" s="199"/>
      <c r="D183" s="159"/>
      <c r="E183" s="159"/>
      <c r="F183" s="159"/>
      <c r="G183" s="159"/>
      <c r="H183" s="159"/>
      <c r="I183" s="158">
        <v>2.2300000000000002E-3</v>
      </c>
      <c r="J183" s="174"/>
    </row>
    <row r="184" spans="2:10" hidden="1" x14ac:dyDescent="0.25">
      <c r="B184" s="166"/>
      <c r="C184" s="199"/>
      <c r="D184" s="159"/>
      <c r="E184" s="159"/>
      <c r="F184" s="200" t="s">
        <v>23</v>
      </c>
      <c r="G184" s="200" t="s">
        <v>24</v>
      </c>
      <c r="H184" s="159"/>
      <c r="I184" s="159"/>
      <c r="J184" s="174"/>
    </row>
    <row r="185" spans="2:10" ht="13.2" hidden="1" thickBot="1" x14ac:dyDescent="0.3">
      <c r="B185" s="166"/>
      <c r="C185" s="201"/>
      <c r="D185" s="193"/>
      <c r="E185" s="193"/>
      <c r="F185" s="202">
        <f>SQRT(3*(F179+F180)^2+F181^2)</f>
        <v>506568872.35436988</v>
      </c>
      <c r="G185" s="202">
        <f>450000000*0.9</f>
        <v>405000000</v>
      </c>
      <c r="H185" s="193"/>
      <c r="I185" s="159"/>
      <c r="J185" s="174"/>
    </row>
    <row r="186" spans="2:10" hidden="1" x14ac:dyDescent="0.25">
      <c r="B186" s="161"/>
      <c r="C186" s="124"/>
      <c r="D186" s="10"/>
      <c r="E186" s="159"/>
      <c r="F186" s="10"/>
      <c r="G186" s="159"/>
      <c r="H186" s="10"/>
      <c r="I186" s="159"/>
      <c r="J186" s="174"/>
    </row>
    <row r="187" spans="2:10" ht="13.2" hidden="1" thickBot="1" x14ac:dyDescent="0.3">
      <c r="B187" s="161"/>
      <c r="C187" s="124"/>
      <c r="D187" s="159"/>
      <c r="E187" s="159"/>
      <c r="F187" s="159"/>
      <c r="G187" s="159"/>
      <c r="H187" s="159"/>
      <c r="I187" s="159"/>
      <c r="J187" s="174"/>
    </row>
    <row r="188" spans="2:10" ht="13.2" hidden="1" thickBot="1" x14ac:dyDescent="0.3">
      <c r="B188" s="203" t="s">
        <v>31</v>
      </c>
      <c r="C188" s="204"/>
      <c r="D188" s="205"/>
      <c r="E188" s="206"/>
      <c r="F188" s="177" t="s">
        <v>16</v>
      </c>
      <c r="G188" s="207">
        <f>G177</f>
        <v>2075</v>
      </c>
      <c r="H188" s="208" t="s">
        <v>25</v>
      </c>
      <c r="I188" s="159"/>
      <c r="J188" s="174"/>
    </row>
    <row r="189" spans="2:10" hidden="1" x14ac:dyDescent="0.25">
      <c r="B189" s="166"/>
      <c r="C189" s="199"/>
      <c r="D189" s="159"/>
      <c r="E189" s="159"/>
      <c r="F189" s="159"/>
      <c r="G189" s="159"/>
      <c r="H189" s="164" t="s">
        <v>10</v>
      </c>
      <c r="I189" s="159"/>
      <c r="J189" s="174"/>
    </row>
    <row r="190" spans="2:10" hidden="1" x14ac:dyDescent="0.25">
      <c r="B190" s="166"/>
      <c r="C190" s="199"/>
      <c r="D190" s="159"/>
      <c r="E190" s="159"/>
      <c r="F190" s="159"/>
      <c r="G190" s="159"/>
      <c r="H190" s="164" t="s">
        <v>26</v>
      </c>
      <c r="I190" s="159"/>
      <c r="J190" s="174"/>
    </row>
    <row r="191" spans="2:10" hidden="1" x14ac:dyDescent="0.25">
      <c r="B191" s="166"/>
      <c r="C191" s="199"/>
      <c r="D191" s="167"/>
      <c r="E191" s="159"/>
      <c r="F191" s="10"/>
      <c r="G191" s="159"/>
      <c r="H191" s="10"/>
      <c r="I191" s="159"/>
      <c r="J191" s="174"/>
    </row>
    <row r="192" spans="2:10" hidden="1" x14ac:dyDescent="0.25">
      <c r="B192" s="166"/>
      <c r="C192" s="199"/>
      <c r="D192" s="159"/>
      <c r="E192" s="159"/>
      <c r="F192" s="159" t="s">
        <v>18</v>
      </c>
      <c r="G192" s="159" t="s">
        <v>19</v>
      </c>
      <c r="H192" s="159"/>
      <c r="I192" s="159"/>
      <c r="J192" s="174"/>
    </row>
    <row r="193" spans="2:10" ht="13.2" hidden="1" thickBot="1" x14ac:dyDescent="0.3">
      <c r="B193" s="163"/>
      <c r="C193" s="199"/>
      <c r="D193" s="159"/>
      <c r="E193" s="164" t="s">
        <v>27</v>
      </c>
      <c r="F193" s="140">
        <f>G188/(I181*I183)</f>
        <v>15508221.225710016</v>
      </c>
      <c r="G193" s="197">
        <v>110000000</v>
      </c>
      <c r="H193" s="159"/>
      <c r="I193" s="193"/>
      <c r="J193" s="194"/>
    </row>
    <row r="194" spans="2:10" hidden="1" x14ac:dyDescent="0.25">
      <c r="B194" s="166"/>
      <c r="C194" s="199"/>
      <c r="D194" s="159"/>
      <c r="E194" s="164" t="s">
        <v>22</v>
      </c>
      <c r="F194" s="140">
        <f>G188*I182*6/(I181*I183^2)</f>
        <v>237839087.85618046</v>
      </c>
      <c r="G194" s="197">
        <v>160000000</v>
      </c>
      <c r="H194" s="159"/>
    </row>
    <row r="195" spans="2:10" hidden="1" x14ac:dyDescent="0.25">
      <c r="B195" s="166"/>
      <c r="C195" s="199"/>
      <c r="D195" s="159"/>
      <c r="E195" s="159"/>
      <c r="F195" s="159"/>
      <c r="G195" s="159"/>
      <c r="H195" s="159"/>
    </row>
    <row r="196" spans="2:10" hidden="1" x14ac:dyDescent="0.25">
      <c r="B196" s="166"/>
      <c r="C196" s="199"/>
      <c r="D196" s="167"/>
      <c r="E196" s="159"/>
      <c r="F196" s="167"/>
      <c r="G196" s="159"/>
      <c r="H196" s="167"/>
    </row>
    <row r="197" spans="2:10" hidden="1" x14ac:dyDescent="0.25">
      <c r="B197" s="166"/>
      <c r="C197" s="199"/>
      <c r="D197" s="159"/>
      <c r="E197" s="159"/>
      <c r="F197" s="200" t="s">
        <v>23</v>
      </c>
      <c r="G197" s="200" t="s">
        <v>24</v>
      </c>
      <c r="H197" s="159"/>
    </row>
    <row r="198" spans="2:10" hidden="1" x14ac:dyDescent="0.25">
      <c r="B198" s="163"/>
      <c r="C198" s="199"/>
      <c r="D198" s="159"/>
      <c r="E198" s="159"/>
      <c r="F198" s="209">
        <f>SQRT(F193^2*3+F194^2)</f>
        <v>239351094.60584596</v>
      </c>
      <c r="G198" s="209">
        <f>120000000*0.9</f>
        <v>108000000</v>
      </c>
      <c r="H198" s="159"/>
    </row>
    <row r="199" spans="2:10" hidden="1" x14ac:dyDescent="0.25">
      <c r="B199" s="166"/>
      <c r="C199" s="199"/>
      <c r="D199" s="159"/>
      <c r="E199" s="159"/>
      <c r="F199" s="159"/>
      <c r="G199" s="159"/>
      <c r="H199" s="159"/>
    </row>
    <row r="200" spans="2:10" ht="13.2" hidden="1" thickBot="1" x14ac:dyDescent="0.3">
      <c r="B200" s="166"/>
      <c r="C200" s="201"/>
      <c r="D200" s="193"/>
      <c r="E200" s="193"/>
      <c r="F200" s="193"/>
      <c r="G200" s="193"/>
      <c r="H200" s="193"/>
    </row>
    <row r="201" spans="2:10" hidden="1" x14ac:dyDescent="0.25"/>
    <row r="202" spans="2:10" hidden="1" x14ac:dyDescent="0.25"/>
    <row r="203" spans="2:10" hidden="1" x14ac:dyDescent="0.25"/>
    <row r="204" spans="2:10" hidden="1" x14ac:dyDescent="0.25"/>
    <row r="205" spans="2:10" hidden="1" x14ac:dyDescent="0.25"/>
    <row r="206" spans="2:10" hidden="1" x14ac:dyDescent="0.25"/>
    <row r="207" spans="2:10" hidden="1" x14ac:dyDescent="0.25"/>
    <row r="208" spans="2:10" hidden="1" x14ac:dyDescent="0.25"/>
    <row r="209" hidden="1" x14ac:dyDescent="0.25"/>
    <row r="210" hidden="1" x14ac:dyDescent="0.25"/>
  </sheetData>
  <sheetProtection algorithmName="SHA-512" hashValue="UL78NCjkemRB3MxbmB2wc5YgrVkuNDQd4iGWYDVMtjXd2je/uMwEWS0xMJFg2jimdqolDcU7pJGOQgrabAGrfw==" saltValue="lQ6wYrNUdJVfKt7HN3zDVw==" spinCount="100000" sheet="1" objects="1" scenarios="1" selectLockedCells="1"/>
  <mergeCells count="20">
    <mergeCell ref="B22:C22"/>
    <mergeCell ref="I9:J9"/>
    <mergeCell ref="I16:K16"/>
    <mergeCell ref="B21:C21"/>
    <mergeCell ref="B24:C24"/>
    <mergeCell ref="B14:C14"/>
    <mergeCell ref="B15:C15"/>
    <mergeCell ref="B16:C16"/>
    <mergeCell ref="B20:C20"/>
    <mergeCell ref="B2:G2"/>
    <mergeCell ref="I15:K15"/>
    <mergeCell ref="I5:J5"/>
    <mergeCell ref="I4:K4"/>
    <mergeCell ref="E5:F5"/>
    <mergeCell ref="I6:J6"/>
    <mergeCell ref="I12:K13"/>
    <mergeCell ref="B4:G4"/>
    <mergeCell ref="B12:G12"/>
    <mergeCell ref="I8:J8"/>
    <mergeCell ref="I7:J7"/>
  </mergeCells>
  <phoneticPr fontId="4" type="noConversion"/>
  <conditionalFormatting sqref="K5:K9 G83:G85 G71 G73:G76 G44 G49 G55 G57 G59 G63 G65 G67 G78:G81">
    <cfRule type="cellIs" dxfId="1" priority="1" stopIfTrue="1" operator="greaterThan">
      <formula>100</formula>
    </cfRule>
  </conditionalFormatting>
  <conditionalFormatting sqref="G8">
    <cfRule type="cellIs" dxfId="0" priority="2" stopIfTrue="1" operator="lessThan">
      <formula>$D$8</formula>
    </cfRule>
  </conditionalFormatting>
  <pageMargins left="0" right="0" top="0" bottom="0" header="0.51181102362204722" footer="0.51181102362204722"/>
  <pageSetup paperSize="9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43"/>
  <sheetViews>
    <sheetView tabSelected="1" workbookViewId="0">
      <selection activeCell="B10" sqref="B10"/>
    </sheetView>
  </sheetViews>
  <sheetFormatPr baseColWidth="10" defaultRowHeight="13.2" x14ac:dyDescent="0.25"/>
  <cols>
    <col min="1" max="1" width="1.6640625" customWidth="1"/>
    <col min="2" max="4" width="12.6640625" customWidth="1"/>
    <col min="5" max="5" width="1.6640625" customWidth="1"/>
    <col min="6" max="9" width="18.6640625" customWidth="1"/>
    <col min="10" max="10" width="3.6640625" customWidth="1"/>
  </cols>
  <sheetData>
    <row r="1" spans="2:18" s="277" customFormat="1" ht="15" x14ac:dyDescent="0.25">
      <c r="B1" s="375" t="s">
        <v>138</v>
      </c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</row>
    <row r="2" spans="2:18" s="20" customFormat="1" ht="19.8" x14ac:dyDescent="0.25">
      <c r="B2" s="331" t="s">
        <v>128</v>
      </c>
      <c r="C2" s="337"/>
      <c r="D2" s="337"/>
      <c r="E2" s="337"/>
      <c r="F2" s="337"/>
      <c r="G2" s="337"/>
      <c r="H2" s="337"/>
      <c r="I2" s="337"/>
      <c r="J2" s="263"/>
      <c r="Q2" s="31"/>
      <c r="R2" s="1"/>
    </row>
    <row r="3" spans="2:18" s="20" customFormat="1" ht="3" customHeight="1" x14ac:dyDescent="0.25">
      <c r="J3" s="34"/>
      <c r="Q3" s="31"/>
      <c r="R3" s="1"/>
    </row>
    <row r="4" spans="2:18" s="277" customFormat="1" ht="14.1" customHeight="1" x14ac:dyDescent="0.25">
      <c r="B4" s="370" t="s">
        <v>116</v>
      </c>
      <c r="C4" s="371"/>
      <c r="D4" s="372"/>
      <c r="E4" s="288"/>
      <c r="F4" s="370" t="s">
        <v>117</v>
      </c>
      <c r="G4" s="371"/>
      <c r="H4" s="371"/>
      <c r="I4" s="372"/>
      <c r="J4" s="276"/>
      <c r="K4" s="276"/>
      <c r="L4" s="276"/>
    </row>
    <row r="5" spans="2:18" s="277" customFormat="1" ht="15.9" customHeight="1" x14ac:dyDescent="0.25">
      <c r="B5" s="280"/>
      <c r="C5" s="281"/>
      <c r="D5" s="282"/>
      <c r="E5" s="288"/>
      <c r="F5" s="373" t="s">
        <v>118</v>
      </c>
      <c r="G5" s="374"/>
      <c r="H5" s="373" t="s">
        <v>119</v>
      </c>
      <c r="I5" s="374"/>
      <c r="J5" s="276"/>
      <c r="K5" s="276"/>
      <c r="L5" s="276"/>
    </row>
    <row r="6" spans="2:18" s="277" customFormat="1" ht="20.100000000000001" customHeight="1" x14ac:dyDescent="0.25">
      <c r="B6" s="283" t="s">
        <v>129</v>
      </c>
      <c r="C6" s="283" t="s">
        <v>136</v>
      </c>
      <c r="D6" s="283" t="s">
        <v>130</v>
      </c>
      <c r="E6" s="289"/>
      <c r="F6" s="284" t="s">
        <v>131</v>
      </c>
      <c r="G6" s="285" t="s">
        <v>132</v>
      </c>
      <c r="H6" s="284" t="s">
        <v>133</v>
      </c>
      <c r="I6" s="285" t="s">
        <v>134</v>
      </c>
      <c r="J6" s="276"/>
      <c r="K6" s="276"/>
      <c r="L6" s="276"/>
    </row>
    <row r="7" spans="2:18" s="277" customFormat="1" ht="3" customHeight="1" x14ac:dyDescent="0.25">
      <c r="B7" s="317"/>
      <c r="C7" s="317"/>
      <c r="D7" s="317"/>
      <c r="E7" s="316"/>
      <c r="F7" s="317"/>
      <c r="G7" s="317"/>
      <c r="H7" s="317"/>
      <c r="I7" s="317"/>
      <c r="J7" s="276"/>
      <c r="K7" s="276"/>
      <c r="L7" s="276"/>
    </row>
    <row r="8" spans="2:18" s="32" customFormat="1" ht="12.9" customHeight="1" x14ac:dyDescent="0.25">
      <c r="B8" s="366" t="s">
        <v>123</v>
      </c>
      <c r="C8" s="367"/>
      <c r="D8" s="367"/>
      <c r="E8" s="367"/>
      <c r="F8" s="367"/>
      <c r="G8" s="367"/>
      <c r="H8" s="367"/>
      <c r="I8" s="368"/>
      <c r="J8" s="291"/>
      <c r="Q8" s="65"/>
      <c r="R8" s="11"/>
    </row>
    <row r="9" spans="2:18" s="293" customFormat="1" ht="3" customHeight="1" x14ac:dyDescent="0.25">
      <c r="B9" s="295"/>
      <c r="C9" s="292"/>
      <c r="D9" s="292"/>
      <c r="E9" s="289"/>
      <c r="F9" s="292"/>
      <c r="G9" s="292"/>
      <c r="H9" s="292"/>
      <c r="I9" s="296"/>
      <c r="J9" s="288"/>
      <c r="K9" s="288"/>
      <c r="L9" s="288"/>
    </row>
    <row r="10" spans="2:18" s="277" customFormat="1" ht="18" customHeight="1" x14ac:dyDescent="0.25">
      <c r="B10" s="314">
        <v>25</v>
      </c>
      <c r="C10" s="315">
        <v>3000</v>
      </c>
      <c r="D10" s="315">
        <v>20</v>
      </c>
      <c r="E10" s="294"/>
      <c r="F10" s="304">
        <f>C10/2+6-(6*(COS(B10*PI()/180)))-(5*SIN(B10*PI()/180))-(D10*COS(B10*PI()/180))-(52.5*COS(B10*PI()/180))-(25.5*SIN(B10*PI()/180))-40-58-2</f>
        <v>1321.9649817345314</v>
      </c>
      <c r="G10" s="305">
        <f>C10/2+6-(6*(COS(B10*PI()/180)))-(5*SIN(B10*PI()/180))-(D10*COS(B10*PI()/180))-(52.5*COS(B10*PI()/180))-(25.5*SIN(B10*PI()/180))-40-58+19.5+43</f>
        <v>1386.4649817345314</v>
      </c>
      <c r="H10" s="305">
        <f>((C10/2-6-28)*TAN(B10*PI()/180))-(6*SIN(B10*PI()/180))+(5*COS(B10*PI()/180))-(D10*SIN(B10*PI()/180))-(52.5*SIN(B10*PI()/180))+(25.5*COS(B10*PI()/180))-58-5.55-25.5-40-2</f>
        <v>547.02388081320078</v>
      </c>
      <c r="I10" s="305">
        <f>((C10/2-6-28)*TAN(B10*PI()/180))-(6*SIN(B10*PI()/180))+(5*COS(B10*PI()/180))-(D10*SIN(B10*PI()/180))-(52.5*SIN(B10*PI()/180))+(25.5*COS(B10*PI()/180))-58-5.55-25.5-40+19.5+43</f>
        <v>611.52388081320078</v>
      </c>
      <c r="J10" s="276"/>
      <c r="K10" s="351" t="s">
        <v>121</v>
      </c>
      <c r="L10" s="369"/>
      <c r="M10" s="369"/>
    </row>
    <row r="11" spans="2:18" s="277" customFormat="1" ht="3" customHeight="1" x14ac:dyDescent="0.25">
      <c r="B11" s="318"/>
      <c r="C11" s="318"/>
      <c r="D11" s="318"/>
      <c r="E11" s="318"/>
      <c r="F11" s="318"/>
      <c r="G11" s="318"/>
      <c r="H11" s="318"/>
      <c r="I11" s="318"/>
      <c r="J11" s="276"/>
      <c r="K11" s="276"/>
      <c r="L11" s="276"/>
    </row>
    <row r="12" spans="2:18" s="20" customFormat="1" ht="12.9" customHeight="1" x14ac:dyDescent="0.25">
      <c r="B12" s="366" t="s">
        <v>120</v>
      </c>
      <c r="C12" s="367"/>
      <c r="D12" s="367"/>
      <c r="E12" s="367"/>
      <c r="F12" s="367"/>
      <c r="G12" s="367"/>
      <c r="H12" s="367"/>
      <c r="I12" s="368"/>
      <c r="J12" s="34"/>
      <c r="Q12" s="31"/>
      <c r="R12" s="1"/>
    </row>
    <row r="13" spans="2:18" s="20" customFormat="1" ht="3" customHeight="1" x14ac:dyDescent="0.25">
      <c r="B13" s="286"/>
      <c r="C13" s="32"/>
      <c r="D13" s="32"/>
      <c r="E13" s="32"/>
      <c r="F13" s="32"/>
      <c r="G13" s="32"/>
      <c r="H13" s="32"/>
      <c r="I13" s="287"/>
      <c r="J13" s="279"/>
      <c r="Q13" s="31"/>
      <c r="R13" s="1"/>
    </row>
    <row r="14" spans="2:18" s="277" customFormat="1" ht="18" customHeight="1" x14ac:dyDescent="0.25">
      <c r="B14" s="314">
        <v>25</v>
      </c>
      <c r="C14" s="315">
        <v>3000</v>
      </c>
      <c r="D14" s="315">
        <v>20</v>
      </c>
      <c r="E14" s="290"/>
      <c r="F14" s="304">
        <f>C14/2+19.4-(6*(COS(B14*PI()/180)))-(5*SIN(B14*PI()/180))-(D14*COS(B14*PI()/180))-(52.5*COS(B14*PI()/180))-(25.5*SIN(B14*PI()/180))-40-58-2</f>
        <v>1335.3649817345315</v>
      </c>
      <c r="G14" s="305">
        <f>C14/2+19.4-(6*(COS(B14*PI()/180)))-(5*SIN(B14*PI()/180))-(D14*COS(B14*PI()/180))-(52.5*COS(B14*PI()/180))-(25.5*SIN(B14*PI()/180))-40-58+19.5+43</f>
        <v>1399.8649817345315</v>
      </c>
      <c r="H14" s="305">
        <f>((C14/2-19.4-28)*TAN(B14*PI()/180))-(6*SIN(B14*PI()/180))+(5*COS(B14*PI()/180))-(D14*SIN(B14*PI()/180))-(52.5*SIN(B14*PI()/180))+(25.5*COS(B14*PI()/180))-58-5.55-25.5-40-2</f>
        <v>540.77535819392381</v>
      </c>
      <c r="I14" s="305">
        <f>((C14/2-19.4-28)*TAN(B14*PI()/180))-(6*SIN(B14*PI()/180))+(5*COS(B14*PI()/180))-(D14*SIN(B14*PI()/180))-(52.5*SIN(B14*PI()/180))+(25.5*COS(B14*PI()/180))-58-5.55-25.5-40+19.5+43</f>
        <v>605.27535819392381</v>
      </c>
      <c r="J14" s="276"/>
      <c r="K14" s="338" t="s">
        <v>122</v>
      </c>
      <c r="L14" s="337"/>
      <c r="M14" s="337"/>
    </row>
    <row r="15" spans="2:18" s="277" customFormat="1" ht="20.100000000000001" customHeight="1" x14ac:dyDescent="0.25">
      <c r="B15" s="276"/>
      <c r="C15" s="276"/>
      <c r="D15" s="276"/>
      <c r="E15" s="276"/>
      <c r="F15" s="276"/>
      <c r="G15" s="276"/>
      <c r="H15" s="276"/>
      <c r="I15" s="276"/>
      <c r="J15" s="276"/>
    </row>
    <row r="16" spans="2:18" s="277" customFormat="1" ht="20.100000000000001" customHeight="1" x14ac:dyDescent="0.25">
      <c r="B16" s="276"/>
      <c r="C16" s="276"/>
      <c r="D16" s="276"/>
      <c r="E16" s="276"/>
      <c r="F16" s="276"/>
      <c r="G16" s="276"/>
      <c r="H16" s="276"/>
      <c r="I16" s="276"/>
      <c r="J16" s="276"/>
      <c r="K16" s="276"/>
      <c r="L16" s="276"/>
    </row>
    <row r="17" spans="2:12" s="277" customFormat="1" ht="20.100000000000001" customHeight="1" x14ac:dyDescent="0.25">
      <c r="B17" s="276"/>
      <c r="C17" s="276"/>
      <c r="D17" s="276"/>
      <c r="E17" s="276"/>
      <c r="F17" s="276"/>
      <c r="G17" s="276"/>
      <c r="H17" s="276"/>
      <c r="I17" s="276"/>
      <c r="J17" s="276"/>
    </row>
    <row r="18" spans="2:12" s="277" customFormat="1" ht="20.100000000000001" customHeight="1" x14ac:dyDescent="0.25">
      <c r="B18" s="276"/>
      <c r="C18" s="276"/>
      <c r="D18" s="276"/>
      <c r="E18" s="276"/>
      <c r="F18" s="276"/>
      <c r="G18" s="276"/>
      <c r="H18" s="276"/>
      <c r="I18" s="276"/>
      <c r="J18" s="276"/>
      <c r="K18" s="276"/>
      <c r="L18" s="276"/>
    </row>
    <row r="19" spans="2:12" s="277" customFormat="1" ht="20.100000000000001" customHeight="1" x14ac:dyDescent="0.25">
      <c r="B19" s="276"/>
      <c r="C19" s="276"/>
      <c r="D19" s="276"/>
      <c r="E19" s="276"/>
      <c r="F19" s="276"/>
      <c r="G19" s="276"/>
      <c r="H19" s="276"/>
      <c r="I19" s="276"/>
      <c r="J19" s="276"/>
      <c r="K19" s="276"/>
      <c r="L19" s="276"/>
    </row>
    <row r="20" spans="2:12" s="277" customFormat="1" ht="20.100000000000001" customHeight="1" x14ac:dyDescent="0.25">
      <c r="B20" s="276"/>
      <c r="C20" s="276"/>
      <c r="D20" s="276"/>
      <c r="E20" s="276"/>
      <c r="F20" s="276"/>
      <c r="G20" s="276"/>
      <c r="H20" s="276"/>
      <c r="I20" s="276"/>
      <c r="J20" s="276"/>
      <c r="K20" s="276"/>
      <c r="L20" s="276"/>
    </row>
    <row r="21" spans="2:12" s="277" customFormat="1" ht="20.100000000000001" customHeight="1" x14ac:dyDescent="0.25">
      <c r="B21" s="276"/>
      <c r="C21" s="276"/>
      <c r="D21" s="276"/>
      <c r="E21" s="276"/>
      <c r="F21" s="276"/>
      <c r="G21" s="276"/>
      <c r="H21" s="276"/>
      <c r="I21" s="276"/>
      <c r="J21" s="276"/>
      <c r="K21" s="276"/>
      <c r="L21" s="276"/>
    </row>
    <row r="22" spans="2:12" s="277" customFormat="1" ht="20.100000000000001" customHeight="1" x14ac:dyDescent="0.25">
      <c r="B22" s="276"/>
      <c r="C22" s="276"/>
      <c r="D22" s="276"/>
      <c r="E22" s="276"/>
      <c r="F22" s="276"/>
      <c r="G22" s="276"/>
      <c r="H22" s="276"/>
      <c r="I22" s="276"/>
      <c r="J22" s="276"/>
      <c r="K22" s="276"/>
      <c r="L22" s="276"/>
    </row>
    <row r="23" spans="2:12" ht="20.100000000000001" customHeight="1" x14ac:dyDescent="0.25">
      <c r="B23" s="278"/>
      <c r="C23" s="278"/>
      <c r="D23" s="278"/>
      <c r="E23" s="278"/>
      <c r="F23" s="278"/>
      <c r="G23" s="278"/>
      <c r="H23" s="278"/>
      <c r="I23" s="278"/>
      <c r="J23" s="278"/>
      <c r="K23" s="278"/>
      <c r="L23" s="278"/>
    </row>
    <row r="24" spans="2:12" ht="20.100000000000001" customHeight="1" x14ac:dyDescent="0.25">
      <c r="B24" s="278"/>
      <c r="C24" s="278"/>
      <c r="D24" s="278"/>
      <c r="E24" s="278"/>
      <c r="F24" s="278"/>
      <c r="G24" s="278"/>
      <c r="H24" s="278"/>
      <c r="I24" s="278"/>
      <c r="J24" s="278"/>
      <c r="K24" s="278"/>
      <c r="L24" s="278"/>
    </row>
    <row r="25" spans="2:12" ht="20.100000000000001" customHeight="1" x14ac:dyDescent="0.25">
      <c r="B25" s="278"/>
      <c r="C25" s="278"/>
      <c r="D25" s="278"/>
      <c r="E25" s="278"/>
      <c r="F25" s="278"/>
      <c r="G25" s="278"/>
      <c r="H25" s="278"/>
      <c r="I25" s="278"/>
      <c r="J25" s="278"/>
      <c r="K25" s="278"/>
      <c r="L25" s="278"/>
    </row>
    <row r="26" spans="2:12" ht="20.100000000000001" customHeight="1" x14ac:dyDescent="0.25">
      <c r="B26" s="278"/>
      <c r="C26" s="278"/>
      <c r="D26" s="278"/>
      <c r="E26" s="278"/>
      <c r="F26" s="278"/>
      <c r="G26" s="278"/>
      <c r="H26" s="278"/>
      <c r="I26" s="278"/>
      <c r="J26" s="278"/>
      <c r="K26" s="278"/>
      <c r="L26" s="278"/>
    </row>
    <row r="27" spans="2:12" ht="20.100000000000001" customHeight="1" x14ac:dyDescent="0.25">
      <c r="B27" s="278"/>
      <c r="C27" s="278"/>
      <c r="D27" s="278"/>
      <c r="E27" s="278"/>
      <c r="F27" s="278"/>
      <c r="G27" s="278"/>
      <c r="H27" s="278"/>
      <c r="I27" s="278"/>
      <c r="J27" s="278"/>
      <c r="K27" s="278"/>
      <c r="L27" s="278"/>
    </row>
    <row r="28" spans="2:12" ht="20.100000000000001" customHeight="1" x14ac:dyDescent="0.25">
      <c r="B28" s="278"/>
      <c r="C28" s="278"/>
      <c r="D28" s="278"/>
      <c r="E28" s="278"/>
      <c r="F28" s="278"/>
      <c r="G28" s="278"/>
      <c r="H28" s="278"/>
      <c r="I28" s="278"/>
      <c r="J28" s="278"/>
      <c r="K28" s="278"/>
      <c r="L28" s="278"/>
    </row>
    <row r="29" spans="2:12" ht="20.100000000000001" customHeight="1" x14ac:dyDescent="0.25">
      <c r="B29" s="278"/>
      <c r="C29" s="278"/>
      <c r="D29" s="278"/>
      <c r="E29" s="278"/>
      <c r="F29" s="278"/>
      <c r="G29" s="278"/>
      <c r="H29" s="278"/>
      <c r="I29" s="278"/>
      <c r="J29" s="278"/>
      <c r="K29" s="278"/>
      <c r="L29" s="278"/>
    </row>
    <row r="30" spans="2:12" ht="20.100000000000001" customHeight="1" x14ac:dyDescent="0.25">
      <c r="B30" s="278"/>
      <c r="C30" s="278"/>
      <c r="D30" s="278"/>
      <c r="E30" s="278"/>
      <c r="F30" s="278"/>
      <c r="G30" s="278"/>
      <c r="H30" s="278"/>
      <c r="I30" s="278"/>
      <c r="J30" s="278"/>
      <c r="K30" s="278"/>
      <c r="L30" s="278"/>
    </row>
    <row r="31" spans="2:12" ht="20.100000000000001" customHeight="1" x14ac:dyDescent="0.25"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</row>
    <row r="32" spans="2:12" ht="20.100000000000001" customHeight="1" x14ac:dyDescent="0.25"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</row>
    <row r="33" spans="2:12" ht="20.100000000000001" customHeight="1" x14ac:dyDescent="0.25">
      <c r="B33" s="278"/>
      <c r="C33" s="278"/>
      <c r="D33" s="278"/>
      <c r="E33" s="278"/>
      <c r="F33" s="278"/>
      <c r="G33" s="278"/>
      <c r="H33" s="278"/>
      <c r="I33" s="278"/>
      <c r="J33" s="278"/>
      <c r="K33" s="278"/>
      <c r="L33" s="278"/>
    </row>
    <row r="34" spans="2:12" ht="20.100000000000001" customHeight="1" x14ac:dyDescent="0.25">
      <c r="B34" s="278"/>
      <c r="C34" s="278"/>
      <c r="D34" s="278"/>
      <c r="E34" s="278"/>
      <c r="F34" s="278"/>
      <c r="G34" s="278"/>
      <c r="H34" s="278"/>
      <c r="I34" s="278"/>
      <c r="J34" s="278"/>
      <c r="K34" s="278"/>
      <c r="L34" s="278"/>
    </row>
    <row r="35" spans="2:12" ht="20.100000000000001" customHeight="1" x14ac:dyDescent="0.25">
      <c r="B35" s="278"/>
      <c r="C35" s="278"/>
      <c r="D35" s="278"/>
      <c r="E35" s="278"/>
      <c r="F35" s="278"/>
      <c r="G35" s="278"/>
      <c r="H35" s="278"/>
      <c r="I35" s="278"/>
      <c r="J35" s="278"/>
      <c r="K35" s="278"/>
      <c r="L35" s="278"/>
    </row>
    <row r="36" spans="2:12" ht="20.100000000000001" customHeight="1" x14ac:dyDescent="0.25">
      <c r="B36" s="278"/>
      <c r="C36" s="278"/>
      <c r="D36" s="278"/>
      <c r="E36" s="278"/>
      <c r="F36" s="278"/>
      <c r="G36" s="278"/>
      <c r="H36" s="278"/>
      <c r="I36" s="278"/>
      <c r="J36" s="278"/>
      <c r="K36" s="278"/>
      <c r="L36" s="278"/>
    </row>
    <row r="37" spans="2:12" ht="20.100000000000001" customHeight="1" x14ac:dyDescent="0.25"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  <row r="38" spans="2:12" ht="20.100000000000001" customHeight="1" x14ac:dyDescent="0.25"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</row>
    <row r="39" spans="2:12" x14ac:dyDescent="0.25">
      <c r="B39" s="278"/>
      <c r="C39" s="278"/>
      <c r="D39" s="278"/>
      <c r="E39" s="278"/>
      <c r="F39" s="278"/>
      <c r="G39" s="278"/>
      <c r="H39" s="278"/>
      <c r="I39" s="278"/>
      <c r="J39" s="278"/>
      <c r="K39" s="278"/>
      <c r="L39" s="278"/>
    </row>
    <row r="40" spans="2:12" x14ac:dyDescent="0.25"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</row>
    <row r="41" spans="2:12" x14ac:dyDescent="0.25">
      <c r="B41" s="278"/>
      <c r="C41" s="278"/>
      <c r="D41" s="278"/>
      <c r="E41" s="278"/>
      <c r="F41" s="278"/>
      <c r="G41" s="278"/>
      <c r="H41" s="278"/>
      <c r="I41" s="278"/>
      <c r="J41" s="278"/>
      <c r="K41" s="278"/>
      <c r="L41" s="278"/>
    </row>
    <row r="42" spans="2:12" x14ac:dyDescent="0.25">
      <c r="B42" s="278"/>
      <c r="C42" s="278"/>
      <c r="D42" s="278"/>
      <c r="E42" s="278"/>
      <c r="F42" s="278"/>
      <c r="G42" s="278"/>
      <c r="H42" s="278"/>
      <c r="I42" s="278"/>
      <c r="J42" s="278"/>
      <c r="K42" s="278"/>
      <c r="L42" s="278"/>
    </row>
    <row r="43" spans="2:12" x14ac:dyDescent="0.25"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</row>
  </sheetData>
  <sheetProtection algorithmName="SHA-512" hashValue="NLPUp3WGvRXmAtnFlu8MNDd/9IYYkGmB03/9wZJaB6Sz8XNatmwLeQKCBsxPiMvDgaqSTsyJBNCAQiiUJP6lKQ==" saltValue="i7d6Q+ZHkpfYVU0CSAGing==" spinCount="100000" sheet="1" selectLockedCells="1"/>
  <mergeCells count="9">
    <mergeCell ref="B8:I8"/>
    <mergeCell ref="K10:M10"/>
    <mergeCell ref="B12:I12"/>
    <mergeCell ref="K14:M14"/>
    <mergeCell ref="B2:I2"/>
    <mergeCell ref="B4:D4"/>
    <mergeCell ref="F4:I4"/>
    <mergeCell ref="F5:G5"/>
    <mergeCell ref="H5:I5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Flandria old</vt:lpstr>
      <vt:lpstr>Flandria new</vt:lpstr>
      <vt:lpstr>Nombre de tirant</vt:lpstr>
      <vt:lpstr>Longueurs tirant</vt:lpstr>
      <vt:lpstr>Coeff_Pente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Benoit</dc:creator>
  <cp:lastModifiedBy>Bart COUSSENS</cp:lastModifiedBy>
  <cp:lastPrinted>2006-10-10T12:09:48Z</cp:lastPrinted>
  <dcterms:created xsi:type="dcterms:W3CDTF">2005-09-12T12:58:01Z</dcterms:created>
  <dcterms:modified xsi:type="dcterms:W3CDTF">2021-02-18T09:09:48Z</dcterms:modified>
</cp:coreProperties>
</file>